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NMENV\ServerShares$\Hearing Office\Boards and Commissions\EIB\Meetings &amp; Cases by Year\EIB 2021\Cases\EIB 21-27\NOIs\CCP-NAVA\"/>
    </mc:Choice>
  </mc:AlternateContent>
  <xr:revisionPtr revIDLastSave="0" documentId="13_ncr:1_{325B71DB-41AA-4E3D-900D-FC268DB0920A}" xr6:coauthVersionLast="45" xr6:coauthVersionMax="45" xr10:uidLastSave="{00000000-0000-0000-0000-000000000000}"/>
  <bookViews>
    <workbookView xWindow="-120" yWindow="-120" windowWidth="29040" windowHeight="17640" tabRatio="760" activeTab="1" xr2:uid="{00000000-000D-0000-FFFF-FFFF00000000}"/>
  </bookViews>
  <sheets>
    <sheet name="HOME" sheetId="34" r:id="rId1"/>
    <sheet name="DASHBOARD" sheetId="32" r:id="rId2"/>
    <sheet name="LIST" sheetId="33" state="hidden" r:id="rId3"/>
    <sheet name="ASSUMPTIONS" sheetId="3" r:id="rId4"/>
    <sheet name="CALCULATION" sheetId="4" r:id="rId5"/>
  </sheets>
  <externalReferences>
    <externalReference r:id="rId6"/>
  </externalReferences>
  <definedNames>
    <definedName name="_xlnm._FilterDatabase" localSheetId="3" hidden="1">ASSUMPTIONS!$A$12:$E$85</definedName>
    <definedName name="AC_Target_Air">CALCULATION!$G$240</definedName>
    <definedName name="AC_Target_Elec">CALCULATION!$G$219</definedName>
    <definedName name="cf_in_cm">ASSUMPTIONS!$C$19</definedName>
    <definedName name="Electricity_available_on_site">Elec_on_site_T[ELECTRICITY ONSITE]</definedName>
    <definedName name="fdf">[1]ASSUMPTION!$G$9</definedName>
    <definedName name="Gas_Price">DASHBOARD!$P$14</definedName>
    <definedName name="Gasa_price_Table">Table7[GAS PRICE]</definedName>
    <definedName name="Interest_Rate">DASHBOARD!$P$16</definedName>
    <definedName name="Interest_Rate_table">Table6[INTEREST RATE]</definedName>
    <definedName name="Lifetime">ASSUMPTIONS!#REF!</definedName>
    <definedName name="Lifetime_P">CALCULATION!$B$161</definedName>
    <definedName name="Methane_Density_cf">ASSUMPTIONS!$C$18</definedName>
    <definedName name="Methane_Density_cm">ASSUMPTIONS!$C$17</definedName>
    <definedName name="Minimum_Rate_air">CALCULATION!$C$235</definedName>
    <definedName name="Minimum_Rate_Elec">CALCULATION!$C$214</definedName>
    <definedName name="Number_Days">ASSUMPTIONS!$C$15</definedName>
    <definedName name="Number_Hours">ASSUMPTIONS!$C$14</definedName>
    <definedName name="Number_Minutes">ASSUMPTIONS!$C$13</definedName>
    <definedName name="Numberpump">Pump_Number_T['# PUMPS]</definedName>
    <definedName name="Retrofit_lifetime">Table8[RETROFIT LIFETIME]</definedName>
    <definedName name="Retrofit_New">retrofit_new_T[NEW/RETROFIT]</definedName>
    <definedName name="Share_Methane">ASSUMPTIONS!$C$20</definedName>
    <definedName name="SupplyGas">Supply_gas_T[TYPE OF SUPPLY GAS]</definedName>
    <definedName name="Target">DASHBOARD!$P$20</definedName>
  </definedNames>
  <calcPr calcId="191029" concurrentCalc="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12" i="4" l="1"/>
  <c r="E18" i="4"/>
  <c r="D18" i="4"/>
  <c r="F18" i="4"/>
  <c r="I12" i="4"/>
  <c r="E19" i="4"/>
  <c r="D19" i="4"/>
  <c r="F19" i="4"/>
  <c r="D20" i="4"/>
  <c r="J12" i="4"/>
  <c r="E20" i="4"/>
  <c r="F20" i="4"/>
  <c r="K12" i="4"/>
  <c r="E21" i="4"/>
  <c r="F21" i="4"/>
  <c r="F23" i="4"/>
  <c r="D123" i="4"/>
  <c r="D125" i="4"/>
  <c r="D124" i="4"/>
  <c r="D126" i="4"/>
  <c r="D127" i="4"/>
  <c r="D128" i="4"/>
  <c r="F142" i="4"/>
  <c r="D142" i="4"/>
  <c r="H142" i="4"/>
  <c r="D46" i="4"/>
  <c r="E98" i="4"/>
  <c r="D47" i="4"/>
  <c r="E99" i="4"/>
  <c r="E102" i="4"/>
  <c r="F140" i="4"/>
  <c r="F143" i="4"/>
  <c r="E12" i="4"/>
  <c r="B143" i="4"/>
  <c r="D143" i="4"/>
  <c r="H143" i="4"/>
  <c r="F144" i="4"/>
  <c r="B144" i="4"/>
  <c r="D144" i="4"/>
  <c r="H144" i="4"/>
  <c r="F136" i="4"/>
  <c r="D98" i="4"/>
  <c r="D136" i="4"/>
  <c r="H136" i="4"/>
  <c r="D100" i="4"/>
  <c r="D138" i="4"/>
  <c r="D48" i="4"/>
  <c r="E100" i="4"/>
  <c r="F138" i="4"/>
  <c r="H138" i="4"/>
  <c r="D102" i="4"/>
  <c r="D140" i="4"/>
  <c r="H140" i="4"/>
  <c r="F137" i="4"/>
  <c r="D99" i="4"/>
  <c r="D137" i="4"/>
  <c r="H137" i="4"/>
  <c r="D101" i="4"/>
  <c r="D139" i="4"/>
  <c r="H139" i="4"/>
  <c r="D103" i="4"/>
  <c r="D141" i="4"/>
  <c r="E103" i="4"/>
  <c r="F141" i="4"/>
  <c r="H141" i="4"/>
  <c r="H146" i="4"/>
  <c r="G187" i="4"/>
  <c r="F12" i="4"/>
  <c r="D77" i="4"/>
  <c r="F46" i="4"/>
  <c r="F47" i="4"/>
  <c r="F48" i="4"/>
  <c r="F51" i="4"/>
  <c r="D63" i="4"/>
  <c r="D64" i="4"/>
  <c r="D65" i="4"/>
  <c r="E77" i="4"/>
  <c r="F77" i="4"/>
  <c r="D78" i="4"/>
  <c r="D66" i="4"/>
  <c r="E78" i="4"/>
  <c r="F78" i="4"/>
  <c r="E73" i="4"/>
  <c r="F73" i="4"/>
  <c r="E74" i="4"/>
  <c r="F74" i="4"/>
  <c r="E75" i="4"/>
  <c r="F75" i="4"/>
  <c r="F81" i="4"/>
  <c r="F101" i="4"/>
  <c r="F79" i="4"/>
  <c r="D80" i="4"/>
  <c r="F80" i="4"/>
  <c r="F82" i="4"/>
  <c r="G161" i="4"/>
  <c r="F98" i="4"/>
  <c r="F100" i="4"/>
  <c r="F102" i="4"/>
  <c r="F99" i="4"/>
  <c r="F103" i="4"/>
  <c r="F104" i="4"/>
  <c r="G162" i="4"/>
  <c r="G163" i="4"/>
  <c r="D67" i="4"/>
  <c r="D89" i="4"/>
  <c r="G89" i="4"/>
  <c r="G91" i="4"/>
  <c r="G165" i="4"/>
  <c r="G167" i="4"/>
  <c r="F24" i="4"/>
  <c r="F34" i="4"/>
  <c r="F36" i="4"/>
  <c r="F37" i="4"/>
  <c r="G170" i="4"/>
  <c r="G171" i="4"/>
  <c r="B161" i="4"/>
  <c r="G175" i="4"/>
  <c r="H87" i="4"/>
  <c r="H88" i="4"/>
  <c r="H89" i="4"/>
  <c r="D90" i="4"/>
  <c r="H90" i="4"/>
  <c r="H91" i="4"/>
  <c r="H165" i="4"/>
  <c r="E108" i="4"/>
  <c r="F108" i="4"/>
  <c r="F110" i="4"/>
  <c r="H115" i="4"/>
  <c r="H166" i="4"/>
  <c r="H167" i="4"/>
  <c r="H170" i="4"/>
  <c r="H171" i="4"/>
  <c r="H175" i="4"/>
  <c r="I87" i="4"/>
  <c r="I88" i="4"/>
  <c r="I89" i="4"/>
  <c r="I90" i="4"/>
  <c r="I91" i="4"/>
  <c r="I165" i="4"/>
  <c r="I115" i="4"/>
  <c r="I166" i="4"/>
  <c r="I167" i="4"/>
  <c r="I170" i="4"/>
  <c r="I171" i="4"/>
  <c r="I175" i="4"/>
  <c r="J87" i="4"/>
  <c r="J88" i="4"/>
  <c r="J89" i="4"/>
  <c r="J90" i="4"/>
  <c r="J91" i="4"/>
  <c r="J165" i="4"/>
  <c r="J115" i="4"/>
  <c r="J166" i="4"/>
  <c r="J167" i="4"/>
  <c r="J170" i="4"/>
  <c r="J171" i="4"/>
  <c r="J175" i="4"/>
  <c r="D87" i="4"/>
  <c r="K87" i="4"/>
  <c r="K88" i="4"/>
  <c r="K89" i="4"/>
  <c r="K90" i="4"/>
  <c r="K91" i="4"/>
  <c r="K165" i="4"/>
  <c r="K115" i="4"/>
  <c r="K166" i="4"/>
  <c r="K167" i="4"/>
  <c r="K170" i="4"/>
  <c r="K171" i="4"/>
  <c r="K175" i="4"/>
  <c r="L87" i="4"/>
  <c r="L88" i="4"/>
  <c r="L89" i="4"/>
  <c r="L90" i="4"/>
  <c r="L91" i="4"/>
  <c r="L165" i="4"/>
  <c r="L115" i="4"/>
  <c r="L166" i="4"/>
  <c r="L167" i="4"/>
  <c r="L170" i="4"/>
  <c r="L171" i="4"/>
  <c r="L175" i="4"/>
  <c r="M87" i="4"/>
  <c r="M88" i="4"/>
  <c r="M89" i="4"/>
  <c r="M90" i="4"/>
  <c r="M91" i="4"/>
  <c r="M165" i="4"/>
  <c r="M115" i="4"/>
  <c r="M166" i="4"/>
  <c r="M167" i="4"/>
  <c r="M170" i="4"/>
  <c r="M171" i="4"/>
  <c r="M175" i="4"/>
  <c r="N87" i="4"/>
  <c r="N88" i="4"/>
  <c r="N89" i="4"/>
  <c r="N90" i="4"/>
  <c r="N91" i="4"/>
  <c r="N165" i="4"/>
  <c r="N115" i="4"/>
  <c r="N166" i="4"/>
  <c r="N167" i="4"/>
  <c r="N170" i="4"/>
  <c r="N171" i="4"/>
  <c r="N175" i="4"/>
  <c r="O87" i="4"/>
  <c r="O88" i="4"/>
  <c r="O89" i="4"/>
  <c r="O90" i="4"/>
  <c r="O91" i="4"/>
  <c r="O165" i="4"/>
  <c r="O115" i="4"/>
  <c r="O166" i="4"/>
  <c r="O167" i="4"/>
  <c r="O170" i="4"/>
  <c r="O171" i="4"/>
  <c r="O175" i="4"/>
  <c r="P87" i="4"/>
  <c r="P88" i="4"/>
  <c r="P89" i="4"/>
  <c r="P90" i="4"/>
  <c r="P91" i="4"/>
  <c r="P165" i="4"/>
  <c r="P115" i="4"/>
  <c r="P166" i="4"/>
  <c r="P167" i="4"/>
  <c r="P170" i="4"/>
  <c r="P171" i="4"/>
  <c r="P175" i="4"/>
  <c r="Q175" i="4"/>
  <c r="R175" i="4"/>
  <c r="S175" i="4"/>
  <c r="T175" i="4"/>
  <c r="U175" i="4"/>
  <c r="V175" i="4"/>
  <c r="G179" i="4"/>
  <c r="G12" i="4"/>
  <c r="B26" i="4"/>
  <c r="F26" i="4"/>
  <c r="G172" i="4"/>
  <c r="H172" i="4"/>
  <c r="I172" i="4"/>
  <c r="J172" i="4"/>
  <c r="K172" i="4"/>
  <c r="L172" i="4"/>
  <c r="M172" i="4"/>
  <c r="N172" i="4"/>
  <c r="O172" i="4"/>
  <c r="P172" i="4"/>
  <c r="Q170" i="4"/>
  <c r="Q172" i="4"/>
  <c r="R170" i="4"/>
  <c r="R172" i="4"/>
  <c r="S170" i="4"/>
  <c r="S172" i="4"/>
  <c r="T170" i="4"/>
  <c r="T172" i="4"/>
  <c r="U170" i="4"/>
  <c r="U172" i="4"/>
  <c r="V170" i="4"/>
  <c r="V172" i="4"/>
  <c r="G181" i="4"/>
  <c r="F76" i="4"/>
  <c r="D59" i="4"/>
  <c r="R87" i="4"/>
  <c r="U88" i="4"/>
  <c r="V87" i="4"/>
  <c r="E34" i="4"/>
  <c r="E88" i="4"/>
  <c r="E87" i="4"/>
  <c r="M37" i="32"/>
  <c r="E153" i="4"/>
  <c r="P153" i="4"/>
  <c r="D21" i="4"/>
  <c r="G223" i="4"/>
  <c r="G224" i="4"/>
  <c r="G214" i="4"/>
  <c r="E143" i="4"/>
  <c r="D34" i="4"/>
  <c r="H235" i="4"/>
  <c r="I235" i="4"/>
  <c r="J235" i="4"/>
  <c r="K235" i="4"/>
  <c r="L235" i="4"/>
  <c r="M235" i="4"/>
  <c r="N235" i="4"/>
  <c r="O235" i="4"/>
  <c r="P235" i="4"/>
  <c r="Q235" i="4"/>
  <c r="R235" i="4"/>
  <c r="S235" i="4"/>
  <c r="T235" i="4"/>
  <c r="U235" i="4"/>
  <c r="V235" i="4"/>
  <c r="G235" i="4"/>
  <c r="G244" i="4"/>
  <c r="G245" i="4"/>
  <c r="D73" i="4"/>
  <c r="D74" i="4"/>
  <c r="D76" i="4"/>
  <c r="E46" i="4"/>
  <c r="E47" i="4"/>
  <c r="E48" i="4"/>
  <c r="E49" i="4"/>
  <c r="F49" i="4"/>
  <c r="E50" i="4"/>
  <c r="F50" i="4"/>
  <c r="D54" i="4"/>
  <c r="D55" i="4"/>
  <c r="D56" i="4"/>
  <c r="D58" i="4"/>
  <c r="D57" i="4"/>
  <c r="D60" i="4"/>
  <c r="E81" i="4"/>
  <c r="D108" i="4"/>
  <c r="D109" i="4"/>
  <c r="F109" i="4"/>
  <c r="G166" i="4"/>
  <c r="G192" i="4"/>
  <c r="H214" i="4"/>
  <c r="I214" i="4"/>
  <c r="J214" i="4"/>
  <c r="J215" i="4"/>
  <c r="K214" i="4"/>
  <c r="L214" i="4"/>
  <c r="M214" i="4"/>
  <c r="M215" i="4"/>
  <c r="N214" i="4"/>
  <c r="N215" i="4"/>
  <c r="O214" i="4"/>
  <c r="P214" i="4"/>
  <c r="Q214" i="4"/>
  <c r="R214" i="4"/>
  <c r="R215" i="4"/>
  <c r="S214" i="4"/>
  <c r="T214" i="4"/>
  <c r="U214" i="4"/>
  <c r="U215" i="4"/>
  <c r="V214" i="4"/>
  <c r="V215" i="4"/>
  <c r="V191" i="4"/>
  <c r="E55" i="4"/>
  <c r="E56" i="4"/>
  <c r="E57" i="4"/>
  <c r="E58" i="4"/>
  <c r="E59" i="4"/>
  <c r="E60" i="4"/>
  <c r="E54" i="4"/>
  <c r="C54" i="4"/>
  <c r="C59" i="4"/>
  <c r="C60" i="4"/>
  <c r="C55" i="4"/>
  <c r="C56" i="4"/>
  <c r="C57" i="4"/>
  <c r="C58" i="4"/>
  <c r="G23" i="4"/>
  <c r="G36" i="4"/>
  <c r="G236" i="4"/>
  <c r="V236" i="4"/>
  <c r="I236" i="4"/>
  <c r="K236" i="4"/>
  <c r="J236" i="4"/>
  <c r="M236" i="4"/>
  <c r="O236" i="4"/>
  <c r="N236" i="4"/>
  <c r="Q236" i="4"/>
  <c r="S236" i="4"/>
  <c r="R236" i="4"/>
  <c r="U236" i="4"/>
  <c r="D75" i="4"/>
  <c r="H215" i="4"/>
  <c r="S215" i="4"/>
  <c r="Q215" i="4"/>
  <c r="O215" i="4"/>
  <c r="K215" i="4"/>
  <c r="I215" i="4"/>
  <c r="G215" i="4"/>
  <c r="T215" i="4"/>
  <c r="P215" i="4"/>
  <c r="L215" i="4"/>
  <c r="E101" i="4"/>
  <c r="E79" i="4"/>
  <c r="E80" i="4"/>
  <c r="G226" i="4"/>
  <c r="G228" i="4"/>
  <c r="G249" i="4"/>
  <c r="G247" i="4"/>
  <c r="F139" i="4"/>
  <c r="M242" i="4"/>
  <c r="V221" i="4"/>
  <c r="U242" i="4"/>
  <c r="V218" i="4"/>
  <c r="T221" i="4"/>
  <c r="S221" i="4"/>
  <c r="R242" i="4"/>
  <c r="O242" i="4"/>
  <c r="Q221" i="4"/>
  <c r="P221" i="4"/>
  <c r="T242" i="4"/>
  <c r="V242" i="4"/>
  <c r="I242" i="4"/>
  <c r="U199" i="4"/>
  <c r="V201" i="4"/>
  <c r="V216" i="4"/>
  <c r="B25" i="4"/>
  <c r="F25" i="4"/>
  <c r="R218" i="4"/>
  <c r="Q242" i="4"/>
  <c r="I221" i="4"/>
  <c r="J242" i="4"/>
  <c r="J221" i="4"/>
  <c r="V199" i="4"/>
  <c r="L221" i="4"/>
  <c r="P242" i="4"/>
  <c r="N221" i="4"/>
  <c r="L242" i="4"/>
  <c r="U221" i="4"/>
  <c r="K242" i="4"/>
  <c r="G221" i="4"/>
  <c r="V239" i="4"/>
  <c r="K221" i="4"/>
  <c r="S242" i="4"/>
  <c r="O221" i="4"/>
  <c r="H242" i="4"/>
  <c r="R221" i="4"/>
  <c r="N242" i="4"/>
  <c r="H221" i="4"/>
  <c r="G242" i="4"/>
  <c r="M221" i="4"/>
  <c r="H153" i="4"/>
  <c r="L153" i="4"/>
  <c r="Q153" i="4"/>
  <c r="V153" i="4"/>
  <c r="I153" i="4"/>
  <c r="N153" i="4"/>
  <c r="R153" i="4"/>
  <c r="J153" i="4"/>
  <c r="T153" i="4"/>
  <c r="K153" i="4"/>
  <c r="U153" i="4"/>
  <c r="O153" i="4"/>
  <c r="T236" i="4"/>
  <c r="P236" i="4"/>
  <c r="L236" i="4"/>
  <c r="H236" i="4"/>
  <c r="V88" i="4"/>
  <c r="R88" i="4"/>
  <c r="V173" i="4"/>
  <c r="U87" i="4"/>
  <c r="T88" i="4"/>
  <c r="T87" i="4"/>
  <c r="S88" i="4"/>
  <c r="Q87" i="4"/>
  <c r="D79" i="4"/>
  <c r="J77" i="4"/>
  <c r="L239" i="4"/>
  <c r="T239" i="4"/>
  <c r="G225" i="4"/>
  <c r="F38" i="4"/>
  <c r="G227" i="4"/>
  <c r="G248" i="4"/>
  <c r="U239" i="4"/>
  <c r="S239" i="4"/>
  <c r="O239" i="4"/>
  <c r="P218" i="4"/>
  <c r="G239" i="4"/>
  <c r="K239" i="4"/>
  <c r="S218" i="4"/>
  <c r="L218" i="4"/>
  <c r="J239" i="4"/>
  <c r="H218" i="4"/>
  <c r="R239" i="4"/>
  <c r="Q218" i="4"/>
  <c r="N239" i="4"/>
  <c r="O218" i="4"/>
  <c r="I239" i="4"/>
  <c r="I218" i="4"/>
  <c r="T218" i="4"/>
  <c r="N218" i="4"/>
  <c r="M218" i="4"/>
  <c r="U218" i="4"/>
  <c r="K218" i="4"/>
  <c r="Q239" i="4"/>
  <c r="M239" i="4"/>
  <c r="G218" i="4"/>
  <c r="H239" i="4"/>
  <c r="P239" i="4"/>
  <c r="J218" i="4"/>
  <c r="F27" i="4"/>
  <c r="H173" i="4"/>
  <c r="T90" i="4"/>
  <c r="R90" i="4"/>
  <c r="Q90" i="4"/>
  <c r="S90" i="4"/>
  <c r="V90" i="4"/>
  <c r="U90" i="4"/>
  <c r="G246" i="4"/>
  <c r="G250" i="4"/>
  <c r="G229" i="4"/>
  <c r="I196" i="4"/>
  <c r="Q196" i="4"/>
  <c r="L196" i="4"/>
  <c r="R196" i="4"/>
  <c r="K196" i="4"/>
  <c r="S196" i="4"/>
  <c r="T196" i="4"/>
  <c r="G196" i="4"/>
  <c r="M196" i="4"/>
  <c r="U196" i="4"/>
  <c r="N196" i="4"/>
  <c r="P196" i="4"/>
  <c r="O196" i="4"/>
  <c r="H196" i="4"/>
  <c r="V196" i="4"/>
  <c r="J196" i="4"/>
  <c r="G188" i="4"/>
  <c r="J197" i="4"/>
  <c r="J198" i="4"/>
  <c r="L198" i="4"/>
  <c r="L197" i="4"/>
  <c r="K173" i="4"/>
  <c r="O173" i="4"/>
  <c r="G173" i="4"/>
  <c r="L173" i="4"/>
  <c r="P173" i="4"/>
  <c r="T173" i="4"/>
  <c r="S173" i="4"/>
  <c r="O199" i="4"/>
  <c r="L199" i="4"/>
  <c r="J199" i="4"/>
  <c r="I199" i="4"/>
  <c r="S199" i="4"/>
  <c r="P199" i="4"/>
  <c r="R199" i="4"/>
  <c r="H199" i="4"/>
  <c r="T199" i="4"/>
  <c r="Q199" i="4"/>
  <c r="M199" i="4"/>
  <c r="K199" i="4"/>
  <c r="G199" i="4"/>
  <c r="N199" i="4"/>
  <c r="I173" i="4"/>
  <c r="U173" i="4"/>
  <c r="J173" i="4"/>
  <c r="R173" i="4"/>
  <c r="Q173" i="4"/>
  <c r="N173" i="4"/>
  <c r="M173" i="4"/>
  <c r="N197" i="4"/>
  <c r="N198" i="4"/>
  <c r="Q171" i="4"/>
  <c r="T171" i="4"/>
  <c r="P197" i="4"/>
  <c r="P198" i="4"/>
  <c r="K197" i="4"/>
  <c r="K198" i="4"/>
  <c r="U171" i="4"/>
  <c r="G198" i="4"/>
  <c r="G197" i="4"/>
  <c r="Q198" i="4"/>
  <c r="Q197" i="4"/>
  <c r="H197" i="4"/>
  <c r="H198" i="4"/>
  <c r="U197" i="4"/>
  <c r="U198" i="4"/>
  <c r="T197" i="4"/>
  <c r="T198" i="4"/>
  <c r="R197" i="4"/>
  <c r="R198" i="4"/>
  <c r="I197" i="4"/>
  <c r="I198" i="4"/>
  <c r="S171" i="4"/>
  <c r="R115" i="4"/>
  <c r="V115" i="4"/>
  <c r="S115" i="4"/>
  <c r="T115" i="4"/>
  <c r="Q115" i="4"/>
  <c r="U115" i="4"/>
  <c r="S87" i="4"/>
  <c r="V197" i="4"/>
  <c r="V198" i="4"/>
  <c r="O197" i="4"/>
  <c r="O198" i="4"/>
  <c r="M197" i="4"/>
  <c r="M198" i="4"/>
  <c r="S198" i="4"/>
  <c r="S197" i="4"/>
  <c r="V171" i="4"/>
  <c r="R171" i="4"/>
  <c r="G213" i="4"/>
  <c r="S89" i="4"/>
  <c r="S91" i="4"/>
  <c r="S165" i="4"/>
  <c r="T89" i="4"/>
  <c r="T91" i="4"/>
  <c r="T165" i="4"/>
  <c r="R89" i="4"/>
  <c r="R91" i="4"/>
  <c r="R165" i="4"/>
  <c r="Q89" i="4"/>
  <c r="V89" i="4"/>
  <c r="V91" i="4"/>
  <c r="V165" i="4"/>
  <c r="U89" i="4"/>
  <c r="U91" i="4"/>
  <c r="U165" i="4"/>
  <c r="U166" i="4"/>
  <c r="U192" i="4"/>
  <c r="M192" i="4"/>
  <c r="L192" i="4"/>
  <c r="O192" i="4"/>
  <c r="H206" i="4"/>
  <c r="Q166" i="4"/>
  <c r="Q192" i="4"/>
  <c r="J192" i="4"/>
  <c r="I192" i="4"/>
  <c r="K192" i="4"/>
  <c r="I205" i="4"/>
  <c r="I179" i="4"/>
  <c r="H180" i="4"/>
  <c r="N192" i="4"/>
  <c r="V166" i="4"/>
  <c r="V192" i="4"/>
  <c r="V193" i="4"/>
  <c r="H192" i="4"/>
  <c r="H181" i="4"/>
  <c r="D129" i="4"/>
  <c r="D130" i="4"/>
  <c r="D152" i="4"/>
  <c r="S166" i="4"/>
  <c r="S192" i="4"/>
  <c r="H207" i="4"/>
  <c r="T166" i="4"/>
  <c r="T192" i="4"/>
  <c r="P192" i="4"/>
  <c r="R166" i="4"/>
  <c r="R192" i="4"/>
  <c r="H77" i="4"/>
  <c r="F37" i="32"/>
  <c r="F52" i="32"/>
  <c r="D88" i="4"/>
  <c r="Q88" i="4"/>
  <c r="Q91" i="4"/>
  <c r="Q165" i="4"/>
  <c r="Q167" i="4"/>
  <c r="P168" i="4"/>
  <c r="T167" i="4"/>
  <c r="T213" i="4"/>
  <c r="T216" i="4"/>
  <c r="U167" i="4"/>
  <c r="J168" i="4"/>
  <c r="R167" i="4"/>
  <c r="R168" i="4"/>
  <c r="K168" i="4"/>
  <c r="V167" i="4"/>
  <c r="V168" i="4"/>
  <c r="N168" i="4"/>
  <c r="S167" i="4"/>
  <c r="S168" i="4"/>
  <c r="H152" i="4"/>
  <c r="S152" i="4"/>
  <c r="U152" i="4"/>
  <c r="T152" i="4"/>
  <c r="P152" i="4"/>
  <c r="O152" i="4"/>
  <c r="V152" i="4"/>
  <c r="M152" i="4"/>
  <c r="L152" i="4"/>
  <c r="G152" i="4"/>
  <c r="G155" i="4"/>
  <c r="G191" i="4"/>
  <c r="G193" i="4"/>
  <c r="G234" i="4"/>
  <c r="K152" i="4"/>
  <c r="R152" i="4"/>
  <c r="I152" i="4"/>
  <c r="J152" i="4"/>
  <c r="N152" i="4"/>
  <c r="Q152" i="4"/>
  <c r="L213" i="4"/>
  <c r="L216" i="4"/>
  <c r="D153" i="4"/>
  <c r="V234" i="4"/>
  <c r="V237" i="4"/>
  <c r="V194" i="4"/>
  <c r="F70" i="32"/>
  <c r="F64" i="32"/>
  <c r="F65" i="32"/>
  <c r="G178" i="4"/>
  <c r="F60" i="32"/>
  <c r="F39" i="32"/>
  <c r="G212" i="4"/>
  <c r="G216" i="4"/>
  <c r="F72" i="32"/>
  <c r="F67" i="32"/>
  <c r="F54" i="32"/>
  <c r="G168" i="4"/>
  <c r="F62" i="32"/>
  <c r="I168" i="4"/>
  <c r="I213" i="4"/>
  <c r="I216" i="4"/>
  <c r="J213" i="4"/>
  <c r="J216" i="4"/>
  <c r="O168" i="4"/>
  <c r="K213" i="4"/>
  <c r="K216" i="4"/>
  <c r="M213" i="4"/>
  <c r="M216" i="4"/>
  <c r="T168" i="4"/>
  <c r="P213" i="4"/>
  <c r="P216" i="4"/>
  <c r="N213" i="4"/>
  <c r="N216" i="4"/>
  <c r="S213" i="4"/>
  <c r="S216" i="4"/>
  <c r="H168" i="4"/>
  <c r="M168" i="4"/>
  <c r="U168" i="4"/>
  <c r="L168" i="4"/>
  <c r="R213" i="4"/>
  <c r="R216" i="4"/>
  <c r="U213" i="4"/>
  <c r="U216" i="4"/>
  <c r="V213" i="4"/>
  <c r="H213" i="4"/>
  <c r="H216" i="4"/>
  <c r="O213" i="4"/>
  <c r="O216" i="4"/>
  <c r="F66" i="32"/>
  <c r="Q213" i="4"/>
  <c r="Q216" i="4"/>
  <c r="Q168" i="4"/>
  <c r="D154" i="4"/>
  <c r="H145" i="4"/>
  <c r="S153" i="4"/>
  <c r="M153" i="4"/>
  <c r="F61" i="32"/>
  <c r="F74" i="32"/>
  <c r="F63" i="32"/>
  <c r="F45" i="32"/>
  <c r="F47" i="32"/>
  <c r="G217" i="4"/>
  <c r="G219" i="4"/>
  <c r="F68" i="32"/>
  <c r="G189" i="4"/>
  <c r="M154" i="4"/>
  <c r="M155" i="4"/>
  <c r="L191" i="4"/>
  <c r="L193" i="4"/>
  <c r="S154" i="4"/>
  <c r="S155" i="4"/>
  <c r="R191" i="4"/>
  <c r="R193" i="4"/>
  <c r="P154" i="4"/>
  <c r="P155" i="4"/>
  <c r="O191" i="4"/>
  <c r="O193" i="4"/>
  <c r="J154" i="4"/>
  <c r="J155" i="4"/>
  <c r="I191" i="4"/>
  <c r="I193" i="4"/>
  <c r="R154" i="4"/>
  <c r="R155" i="4"/>
  <c r="Q191" i="4"/>
  <c r="Q193" i="4"/>
  <c r="N154" i="4"/>
  <c r="N155" i="4"/>
  <c r="M191" i="4"/>
  <c r="M193" i="4"/>
  <c r="U154" i="4"/>
  <c r="U155" i="4"/>
  <c r="T191" i="4"/>
  <c r="T193" i="4"/>
  <c r="O154" i="4"/>
  <c r="O155" i="4"/>
  <c r="N191" i="4"/>
  <c r="N193" i="4"/>
  <c r="V154" i="4"/>
  <c r="V155" i="4"/>
  <c r="U191" i="4"/>
  <c r="U193" i="4"/>
  <c r="T154" i="4"/>
  <c r="T155" i="4"/>
  <c r="S191" i="4"/>
  <c r="S193" i="4"/>
  <c r="Q154" i="4"/>
  <c r="Q155" i="4"/>
  <c r="P191" i="4"/>
  <c r="P193" i="4"/>
  <c r="I154" i="4"/>
  <c r="I155" i="4"/>
  <c r="H191" i="4"/>
  <c r="H193" i="4"/>
  <c r="L154" i="4"/>
  <c r="L155" i="4"/>
  <c r="K191" i="4"/>
  <c r="K193" i="4"/>
  <c r="H154" i="4"/>
  <c r="H155" i="4"/>
  <c r="K154" i="4"/>
  <c r="K155" i="4"/>
  <c r="J191" i="4"/>
  <c r="J193" i="4"/>
  <c r="G180" i="4"/>
  <c r="F43" i="32"/>
  <c r="F49" i="32"/>
  <c r="G201" i="4"/>
  <c r="M39" i="32"/>
  <c r="F71" i="32"/>
  <c r="F73" i="32"/>
  <c r="F75" i="32"/>
  <c r="G204" i="4"/>
  <c r="G233" i="4"/>
  <c r="G237" i="4"/>
  <c r="G194" i="4"/>
  <c r="R201" i="4"/>
  <c r="R194" i="4"/>
  <c r="R234" i="4"/>
  <c r="R237" i="4"/>
  <c r="H201" i="4"/>
  <c r="H194" i="4"/>
  <c r="H234" i="4"/>
  <c r="H237" i="4"/>
  <c r="N201" i="4"/>
  <c r="N234" i="4"/>
  <c r="N237" i="4"/>
  <c r="N194" i="4"/>
  <c r="I201" i="4"/>
  <c r="I234" i="4"/>
  <c r="I237" i="4"/>
  <c r="I194" i="4"/>
  <c r="U201" i="4"/>
  <c r="U194" i="4"/>
  <c r="U234" i="4"/>
  <c r="U237" i="4"/>
  <c r="J201" i="4"/>
  <c r="J194" i="4"/>
  <c r="J234" i="4"/>
  <c r="J237" i="4"/>
  <c r="P201" i="4"/>
  <c r="P234" i="4"/>
  <c r="P237" i="4"/>
  <c r="P194" i="4"/>
  <c r="T201" i="4"/>
  <c r="T194" i="4"/>
  <c r="T234" i="4"/>
  <c r="T237" i="4"/>
  <c r="O201" i="4"/>
  <c r="O194" i="4"/>
  <c r="O234" i="4"/>
  <c r="O237" i="4"/>
  <c r="L234" i="4"/>
  <c r="L237" i="4"/>
  <c r="L194" i="4"/>
  <c r="L201" i="4"/>
  <c r="K201" i="4"/>
  <c r="K194" i="4"/>
  <c r="K234" i="4"/>
  <c r="K237" i="4"/>
  <c r="Q201" i="4"/>
  <c r="Q194" i="4"/>
  <c r="Q234" i="4"/>
  <c r="Q237" i="4"/>
  <c r="S201" i="4"/>
  <c r="S194" i="4"/>
  <c r="S234" i="4"/>
  <c r="S237" i="4"/>
  <c r="M201" i="4"/>
  <c r="M194" i="4"/>
  <c r="M234" i="4"/>
  <c r="M237" i="4"/>
  <c r="G238" i="4"/>
  <c r="G240" i="4"/>
  <c r="G205" i="4"/>
  <c r="G206" i="4"/>
  <c r="M43" i="32"/>
  <c r="M49" i="32"/>
  <c r="G207" i="4"/>
  <c r="M45" i="32"/>
  <c r="M47"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Author</author>
  </authors>
  <commentList>
    <comment ref="B20" authorId="0" shapeId="0" xr:uid="{00000000-0006-0000-0300-000001000000}">
      <text>
        <r>
          <rPr>
            <b/>
            <sz val="10"/>
            <color rgb="FF000000"/>
            <rFont val="Calibri"/>
            <family val="2"/>
          </rPr>
          <t>Microsoft Office User:</t>
        </r>
        <r>
          <rPr>
            <sz val="10"/>
            <color rgb="FF000000"/>
            <rFont val="Calibri"/>
            <family val="2"/>
          </rPr>
          <t xml:space="preserve">
</t>
        </r>
        <r>
          <rPr>
            <sz val="10"/>
            <color rgb="FF000000"/>
            <rFont val="Calibri"/>
            <family val="2"/>
          </rPr>
          <t>ROS</t>
        </r>
      </text>
    </comment>
    <comment ref="B22" authorId="0" shapeId="0" xr:uid="{00000000-0006-0000-0300-000002000000}">
      <text>
        <r>
          <rPr>
            <b/>
            <sz val="10"/>
            <color indexed="81"/>
            <rFont val="Calibri"/>
            <family val="2"/>
          </rPr>
          <t>Microsoft Office User:</t>
        </r>
        <r>
          <rPr>
            <sz val="10"/>
            <color indexed="81"/>
            <rFont val="Calibri"/>
            <family val="2"/>
          </rPr>
          <t xml:space="preserve">
NAA</t>
        </r>
      </text>
    </comment>
    <comment ref="B63" authorId="1" shapeId="0" xr:uid="{00000000-0006-0000-0300-000003000000}">
      <text>
        <r>
          <rPr>
            <sz val="9"/>
            <color rgb="FF000000"/>
            <rFont val="Tahoma"/>
            <family val="2"/>
          </rPr>
          <t>5 HP</t>
        </r>
      </text>
    </comment>
    <comment ref="B64" authorId="1" shapeId="0" xr:uid="{00000000-0006-0000-0300-000004000000}">
      <text>
        <r>
          <rPr>
            <sz val="9"/>
            <color rgb="FF000000"/>
            <rFont val="Tahoma"/>
            <family val="2"/>
          </rPr>
          <t xml:space="preserve">10 HP
</t>
        </r>
      </text>
    </comment>
    <comment ref="B65" authorId="1" shapeId="0" xr:uid="{00000000-0006-0000-0300-000005000000}">
      <text>
        <r>
          <rPr>
            <sz val="9"/>
            <color rgb="FF000000"/>
            <rFont val="Tahoma"/>
            <family val="2"/>
          </rPr>
          <t>15 HP</t>
        </r>
      </text>
    </comment>
    <comment ref="B66" authorId="1" shapeId="0" xr:uid="{00000000-0006-0000-0300-000006000000}">
      <text>
        <r>
          <rPr>
            <sz val="9"/>
            <color rgb="FF000000"/>
            <rFont val="Tahoma"/>
            <family val="2"/>
          </rPr>
          <t>20 HP</t>
        </r>
      </text>
    </comment>
    <comment ref="B67" authorId="1" shapeId="0" xr:uid="{00000000-0006-0000-0300-000007000000}">
      <text>
        <r>
          <rPr>
            <sz val="9"/>
            <color rgb="FF000000"/>
            <rFont val="Tahoma"/>
            <family val="2"/>
          </rPr>
          <t>5 HP</t>
        </r>
      </text>
    </comment>
    <comment ref="B68" authorId="1" shapeId="0" xr:uid="{00000000-0006-0000-0300-000008000000}">
      <text>
        <r>
          <rPr>
            <sz val="9"/>
            <color indexed="81"/>
            <rFont val="Tahoma"/>
            <family val="2"/>
          </rPr>
          <t>10 HP</t>
        </r>
      </text>
    </comment>
    <comment ref="B69" authorId="1" shapeId="0" xr:uid="{00000000-0006-0000-0300-000009000000}">
      <text>
        <r>
          <rPr>
            <sz val="9"/>
            <color indexed="81"/>
            <rFont val="Tahoma"/>
            <family val="2"/>
          </rPr>
          <t>15 HP</t>
        </r>
      </text>
    </comment>
    <comment ref="B70" authorId="1" shapeId="0" xr:uid="{00000000-0006-0000-0300-00000A000000}">
      <text>
        <r>
          <rPr>
            <sz val="9"/>
            <color indexed="81"/>
            <rFont val="Tahoma"/>
            <family val="2"/>
          </rPr>
          <t>20 HP</t>
        </r>
      </text>
    </comment>
    <comment ref="B71" authorId="1" shapeId="0" xr:uid="{00000000-0006-0000-0300-00000B000000}">
      <text>
        <r>
          <rPr>
            <b/>
            <sz val="9"/>
            <color indexed="81"/>
            <rFont val="Tahoma"/>
            <family val="2"/>
          </rPr>
          <t>Retrofit</t>
        </r>
      </text>
    </comment>
    <comment ref="B72" authorId="1" shapeId="0" xr:uid="{00000000-0006-0000-0300-00000C000000}">
      <text>
        <r>
          <rPr>
            <b/>
            <sz val="9"/>
            <color indexed="81"/>
            <rFont val="Tahoma"/>
            <family val="2"/>
          </rPr>
          <t xml:space="preserve">New sites
</t>
        </r>
        <r>
          <rPr>
            <sz val="9"/>
            <color indexed="81"/>
            <rFont val="Tahoma"/>
            <family val="2"/>
          </rPr>
          <t xml:space="preserve">
</t>
        </r>
      </text>
    </comment>
    <comment ref="B73" authorId="1" shapeId="0" xr:uid="{00000000-0006-0000-0300-00000D000000}">
      <text>
        <r>
          <rPr>
            <b/>
            <sz val="9"/>
            <color indexed="81"/>
            <rFont val="Tahoma"/>
            <family val="2"/>
          </rPr>
          <t>retrofit sites</t>
        </r>
      </text>
    </comment>
    <comment ref="B74" authorId="1" shapeId="0" xr:uid="{00000000-0006-0000-0300-00000E000000}">
      <text>
        <r>
          <rPr>
            <sz val="9"/>
            <color indexed="81"/>
            <rFont val="Tahoma"/>
            <family val="2"/>
          </rPr>
          <t xml:space="preserve">New sites
</t>
        </r>
      </text>
    </comment>
  </commentList>
</comments>
</file>

<file path=xl/sharedStrings.xml><?xml version="1.0" encoding="utf-8"?>
<sst xmlns="http://schemas.openxmlformats.org/spreadsheetml/2006/main" count="695" uniqueCount="328">
  <si>
    <t>Chemical Pumps</t>
  </si>
  <si>
    <t>Other controller (s)</t>
  </si>
  <si>
    <t>NEW/RETROFIT</t>
  </si>
  <si>
    <t>N</t>
  </si>
  <si>
    <t>R</t>
  </si>
  <si>
    <t>E</t>
  </si>
  <si>
    <t>NE</t>
  </si>
  <si>
    <t>W</t>
  </si>
  <si>
    <t/>
  </si>
  <si>
    <t>scf/h</t>
  </si>
  <si>
    <t>Number of devices</t>
  </si>
  <si>
    <t>#</t>
  </si>
  <si>
    <t>Unit</t>
  </si>
  <si>
    <t>cf/h</t>
  </si>
  <si>
    <t>Value</t>
  </si>
  <si>
    <t>DESCRIPTION OF THE CASE</t>
  </si>
  <si>
    <t>Number of hours in a day</t>
  </si>
  <si>
    <t>Number of Days in a year</t>
  </si>
  <si>
    <t>%</t>
  </si>
  <si>
    <t>Methane density</t>
  </si>
  <si>
    <t>kg/m3</t>
  </si>
  <si>
    <t>cf-&gt;cm</t>
  </si>
  <si>
    <t>cm/cf</t>
  </si>
  <si>
    <t>kg/cf</t>
  </si>
  <si>
    <t>NA</t>
  </si>
  <si>
    <t>Share of the air bypassed in dryer</t>
  </si>
  <si>
    <t>Description</t>
  </si>
  <si>
    <t>GENERAL ASSUMPTIONS</t>
  </si>
  <si>
    <t>INSTRUMENT AIR - ENGINEERING ASSUMPTIONS</t>
  </si>
  <si>
    <t>Total air supply required</t>
  </si>
  <si>
    <t>Share of the utility air supply</t>
  </si>
  <si>
    <t>HP/cfm</t>
  </si>
  <si>
    <t>Sizing of compressor - variable component</t>
  </si>
  <si>
    <t>Sizing of compressor - constant component</t>
  </si>
  <si>
    <t>HP</t>
  </si>
  <si>
    <t>Number of minutes per hours</t>
  </si>
  <si>
    <t>HP-&gt;MW</t>
  </si>
  <si>
    <t>MW/HP</t>
  </si>
  <si>
    <t>Load of the compressor (main)</t>
  </si>
  <si>
    <t>kW</t>
  </si>
  <si>
    <t>Energy consumption compressor</t>
  </si>
  <si>
    <t>kWh</t>
  </si>
  <si>
    <t>Mscf</t>
  </si>
  <si>
    <t>ESD</t>
  </si>
  <si>
    <t>USD</t>
  </si>
  <si>
    <t>Chemical Pump</t>
  </si>
  <si>
    <t>Installation Costs</t>
  </si>
  <si>
    <t>USD/unit</t>
  </si>
  <si>
    <t>Unit Cost</t>
  </si>
  <si>
    <t>USD/Unit</t>
  </si>
  <si>
    <t>Number</t>
  </si>
  <si>
    <t>Total</t>
  </si>
  <si>
    <t>years</t>
  </si>
  <si>
    <t>CAPEX</t>
  </si>
  <si>
    <t>OPEX</t>
  </si>
  <si>
    <t>Battery replacement cost</t>
  </si>
  <si>
    <t>Solar panel replacement costs</t>
  </si>
  <si>
    <t>Frequency</t>
  </si>
  <si>
    <t>Batterry replacement frequency</t>
  </si>
  <si>
    <t>Solar Panel replacement frequency</t>
  </si>
  <si>
    <t>Total OPEX</t>
  </si>
  <si>
    <t>PROJECT COSTS - BASELINE</t>
  </si>
  <si>
    <t>Labour - installation - Controller</t>
  </si>
  <si>
    <t>Labour - installation - Pump</t>
  </si>
  <si>
    <t>Maintenance costs - wet gas sites</t>
  </si>
  <si>
    <t>Maintenance costs - dry gas sites</t>
  </si>
  <si>
    <t>Maintenance costs - Total</t>
  </si>
  <si>
    <t>PROJECT COSTS - INSTRUMENT AIR</t>
  </si>
  <si>
    <t>Lifetime of the compressors</t>
  </si>
  <si>
    <t xml:space="preserve"> </t>
  </si>
  <si>
    <t>Electricity costs</t>
  </si>
  <si>
    <t>USD/year</t>
  </si>
  <si>
    <t xml:space="preserve">Electricity cost </t>
  </si>
  <si>
    <t>Compressor replacement</t>
  </si>
  <si>
    <t>Compressor maintenance</t>
  </si>
  <si>
    <t>Engine Maintenance</t>
  </si>
  <si>
    <t>% of Capex</t>
  </si>
  <si>
    <t>CAPEX - PROJECT</t>
  </si>
  <si>
    <t>CAPEX - BASELINE</t>
  </si>
  <si>
    <t>OPEX - PROJECT</t>
  </si>
  <si>
    <t>OPEX - BASELINE</t>
  </si>
  <si>
    <t>DIFFERENCE</t>
  </si>
  <si>
    <t>GAS SAVING</t>
  </si>
  <si>
    <t>NPV</t>
  </si>
  <si>
    <t>ABATEMENT COSTS</t>
  </si>
  <si>
    <t>CASH FLOW</t>
  </si>
  <si>
    <t>Share methane in the Gas</t>
  </si>
  <si>
    <t>VOC Saving</t>
  </si>
  <si>
    <t>t</t>
  </si>
  <si>
    <t>TOTAL COSTS</t>
  </si>
  <si>
    <t>tVOC</t>
  </si>
  <si>
    <t>Total gas emissions</t>
  </si>
  <si>
    <t>USD/tVOC</t>
  </si>
  <si>
    <t>CALCULATION</t>
  </si>
  <si>
    <t>Control Panel</t>
  </si>
  <si>
    <t>Solar Panel</t>
  </si>
  <si>
    <t>Battery</t>
  </si>
  <si>
    <t>Retrofit</t>
  </si>
  <si>
    <t>Continuous Controller (s)</t>
  </si>
  <si>
    <t xml:space="preserve">Intermittent Controller (s) </t>
  </si>
  <si>
    <t>Continuous Controller (s) +  control valve</t>
  </si>
  <si>
    <t>Intermittent Controller (s)  +  control valve</t>
  </si>
  <si>
    <t>Maintenance costs - Controller- wet gas sites</t>
  </si>
  <si>
    <t>Maintenance costs - Controller- dry gas sites</t>
  </si>
  <si>
    <t>Amps/site</t>
  </si>
  <si>
    <t>Amps/unit</t>
  </si>
  <si>
    <t>System Voltage</t>
  </si>
  <si>
    <t>Battery Average Efficiency</t>
  </si>
  <si>
    <t>Avg. Peak Sun</t>
  </si>
  <si>
    <t>At Maximum Depth of Discharge</t>
  </si>
  <si>
    <t>Days of Energy Storage</t>
  </si>
  <si>
    <t>days</t>
  </si>
  <si>
    <t>Rating of the solar panel</t>
  </si>
  <si>
    <t>Rating of the battery</t>
  </si>
  <si>
    <t>Ah</t>
  </si>
  <si>
    <t>V</t>
  </si>
  <si>
    <t>Other systems</t>
  </si>
  <si>
    <t>Amp</t>
  </si>
  <si>
    <t>Others requirements</t>
  </si>
  <si>
    <t>Load</t>
  </si>
  <si>
    <t>Wh</t>
  </si>
  <si>
    <t>Energy to Be Generated</t>
  </si>
  <si>
    <t>PV Array Required</t>
  </si>
  <si>
    <t>Requires Battery Bank of</t>
  </si>
  <si>
    <t>Maximum Number of solar panel on a site</t>
  </si>
  <si>
    <t>Oversizing of the solar panel</t>
  </si>
  <si>
    <t>tCH4/Mscf</t>
  </si>
  <si>
    <t>Share of VOC in the gas</t>
  </si>
  <si>
    <t>Wh/day</t>
  </si>
  <si>
    <t>Labour</t>
  </si>
  <si>
    <t>Annual Electricity demand - grid</t>
  </si>
  <si>
    <t>Electricity price US</t>
  </si>
  <si>
    <t>USD/kwh</t>
  </si>
  <si>
    <t>kWh/year</t>
  </si>
  <si>
    <t>USD/controller</t>
  </si>
  <si>
    <t>Instrument air use (dry)</t>
  </si>
  <si>
    <t>Instrument air supply (wet)</t>
  </si>
  <si>
    <t xml:space="preserve">Utility air supply </t>
  </si>
  <si>
    <t>tVOC/Mscf</t>
  </si>
  <si>
    <t>of Equipment costs</t>
  </si>
  <si>
    <t>Amps/pump</t>
  </si>
  <si>
    <t>$/controller/year</t>
  </si>
  <si>
    <t>h/days</t>
  </si>
  <si>
    <t>Compressor Package - Main</t>
  </si>
  <si>
    <t>Total - Air system only</t>
  </si>
  <si>
    <t>Compressor - Unit cost</t>
  </si>
  <si>
    <t>tCH4</t>
  </si>
  <si>
    <t>CH4 Saving</t>
  </si>
  <si>
    <t>USD/tCH4</t>
  </si>
  <si>
    <t>Abatement cost</t>
  </si>
  <si>
    <t>Emission minimum Total</t>
  </si>
  <si>
    <t>Number of controllers</t>
  </si>
  <si>
    <t>Number of ESD</t>
  </si>
  <si>
    <t>Number of pump</t>
  </si>
  <si>
    <t>Emission from pump + ESD</t>
  </si>
  <si>
    <t>Emission per controller</t>
  </si>
  <si>
    <t>scfh</t>
  </si>
  <si>
    <t>Gas saving</t>
  </si>
  <si>
    <t>MSF</t>
  </si>
  <si>
    <t>Gas flow</t>
  </si>
  <si>
    <t>Other supply</t>
  </si>
  <si>
    <t>Installation</t>
  </si>
  <si>
    <t>Cash Flow</t>
  </si>
  <si>
    <t>Maximum Number of batteries on a site</t>
  </si>
  <si>
    <t>[15]</t>
  </si>
  <si>
    <t>[2]</t>
  </si>
  <si>
    <t>[10]</t>
  </si>
  <si>
    <t>[9,10]</t>
  </si>
  <si>
    <t>[9,12]</t>
  </si>
  <si>
    <t>[9]</t>
  </si>
  <si>
    <t>[12,10]</t>
  </si>
  <si>
    <t>[12]</t>
  </si>
  <si>
    <t>[10,15]</t>
  </si>
  <si>
    <t>[17]</t>
  </si>
  <si>
    <t>[18]</t>
  </si>
  <si>
    <t>Total CAPEX</t>
  </si>
  <si>
    <t>Electricity available on-site</t>
  </si>
  <si>
    <t>Site Description</t>
  </si>
  <si>
    <t>New site</t>
  </si>
  <si>
    <t>No electricity available on-site</t>
  </si>
  <si>
    <t>ELECTRICITY ONSITE</t>
  </si>
  <si>
    <t># PUMPS</t>
  </si>
  <si>
    <t>TYPE OF SUPPLY GAS</t>
  </si>
  <si>
    <t xml:space="preserve">Is there electricity available on-site? </t>
  </si>
  <si>
    <t>Is the site new (green field) or existing (retrofit)?</t>
  </si>
  <si>
    <t xml:space="preserve">Number of continuous bleed controllers </t>
  </si>
  <si>
    <t xml:space="preserve">Number of intermittent vent controllers </t>
  </si>
  <si>
    <t>Number of Emergency Shut Down (ESDs)</t>
  </si>
  <si>
    <t>Macro-economic assumptions</t>
  </si>
  <si>
    <t>Gas price (in USD/Mscf)</t>
  </si>
  <si>
    <t>Interest rate (in %)</t>
  </si>
  <si>
    <t>INTEREST RATE</t>
  </si>
  <si>
    <t>GAS PRICE</t>
  </si>
  <si>
    <t>RETROFIT LIFETIME</t>
  </si>
  <si>
    <t>INPUTS</t>
  </si>
  <si>
    <t>Emission Factors assumptions</t>
  </si>
  <si>
    <t>Emission factor - Continuous bleed controllers (in cf/h)</t>
  </si>
  <si>
    <t>Emission factor - Intermittent vent controllers (in cf/h)</t>
  </si>
  <si>
    <t>Emission factor - Pumps (in cf/h)</t>
  </si>
  <si>
    <t>Total methane emissions</t>
  </si>
  <si>
    <t>tCH4/year</t>
  </si>
  <si>
    <t>cfm</t>
  </si>
  <si>
    <t>Minimum sizing of the compressor (theoretical)</t>
  </si>
  <si>
    <t>USD/package</t>
  </si>
  <si>
    <t>Units</t>
  </si>
  <si>
    <t>Other supply-R</t>
  </si>
  <si>
    <t>Other supply-N</t>
  </si>
  <si>
    <t>Installation-R</t>
  </si>
  <si>
    <t>Installation-N</t>
  </si>
  <si>
    <t>Number of Continuous Controller (s)</t>
  </si>
  <si>
    <t xml:space="preserve">Number of Intermittent Controller (s) </t>
  </si>
  <si>
    <t>Number of Chemical Pumps</t>
  </si>
  <si>
    <r>
      <t xml:space="preserve">NEW/RETROFIT </t>
    </r>
    <r>
      <rPr>
        <sz val="9"/>
        <color theme="1" tint="0.499984740745262"/>
        <rFont val="Arial"/>
        <family val="2"/>
        <scheme val="minor"/>
      </rPr>
      <t>(N for New and R for Retrofit)</t>
    </r>
  </si>
  <si>
    <r>
      <t xml:space="preserve">ELECTRICITY_ON_SITE? </t>
    </r>
    <r>
      <rPr>
        <sz val="9"/>
        <color theme="1" tint="0.499984740745262"/>
        <rFont val="Arial"/>
        <family val="2"/>
        <scheme val="minor"/>
      </rPr>
      <t>(E for Electricity and NE for No Electricity)</t>
    </r>
  </si>
  <si>
    <r>
      <t xml:space="preserve">TYPE OF GAS </t>
    </r>
    <r>
      <rPr>
        <sz val="9"/>
        <color theme="1" tint="0.499984740745262"/>
        <rFont val="Arial"/>
        <family val="2"/>
        <scheme val="minor"/>
      </rPr>
      <t>(D fro Dry and W for Wet)</t>
    </r>
  </si>
  <si>
    <t>Number of ESD(s)</t>
  </si>
  <si>
    <t>Note: It is assumed that pneumatic ESD are used</t>
  </si>
  <si>
    <t xml:space="preserve">EMISSIONS ESTIMATE - ELECTRIC CONTROLER </t>
  </si>
  <si>
    <t xml:space="preserve">SIZING </t>
  </si>
  <si>
    <t>SIZING</t>
  </si>
  <si>
    <t>Lifetime new sites</t>
  </si>
  <si>
    <t>ESD emission factors</t>
  </si>
  <si>
    <t>Annual maintenance</t>
  </si>
  <si>
    <t>INSTRUMENT AIR - COST ASSUMPTIONS</t>
  </si>
  <si>
    <t>BASELINE - COST ASSUMPTIONS</t>
  </si>
  <si>
    <t>USD/cont.</t>
  </si>
  <si>
    <t>USD/cont./year</t>
  </si>
  <si>
    <t>ELECTRONIC CONTROLLERS - ENGINEERING ASSUMPTIONS</t>
  </si>
  <si>
    <t>ELECTRONIC CONTROLLERS - COST ASSUMPTIONS</t>
  </si>
  <si>
    <t>PROJECT COSTS - ELECTRONIC CONTROLLER</t>
  </si>
  <si>
    <t>SUMMARY - ELECTRONIC CONTROLLERS</t>
  </si>
  <si>
    <t>SUMMARY - INSTRUMENT AIR</t>
  </si>
  <si>
    <t>MINIMUM EMISSIONS - ELECTRONIC CONTROLLERS</t>
  </si>
  <si>
    <t>MINIMUM EMISSIONS - INSTRUMENT AIR</t>
  </si>
  <si>
    <t>Emission minimum total</t>
  </si>
  <si>
    <t>DASHBOARD</t>
  </si>
  <si>
    <t>ASSUMPTIONS</t>
  </si>
  <si>
    <t>About this Tool</t>
  </si>
  <si>
    <t>Dashboard</t>
  </si>
  <si>
    <t xml:space="preserve">Navigation in the Tool </t>
  </si>
  <si>
    <t xml:space="preserve">Zero emission technologies for pneumatic controllers in the USA </t>
  </si>
  <si>
    <t>Abatement cost tool</t>
  </si>
  <si>
    <t>About Carbon Limits</t>
  </si>
  <si>
    <t>Calculation Sheet</t>
  </si>
  <si>
    <t>[14,10]</t>
  </si>
  <si>
    <t>Assumption</t>
  </si>
  <si>
    <r>
      <t>References</t>
    </r>
    <r>
      <rPr>
        <sz val="10"/>
        <color theme="0" tint="-0.499984740745262"/>
        <rFont val="Arial"/>
        <family val="2"/>
        <scheme val="minor"/>
      </rPr>
      <t xml:space="preserve"> 
(The reference list is available in the appendix of the report)</t>
    </r>
  </si>
  <si>
    <t>Assumption sheet</t>
  </si>
  <si>
    <t>Social cost of Methane (in USD/tCH4)</t>
  </si>
  <si>
    <t>Quality of the gas used as supply gas for the controllers</t>
  </si>
  <si>
    <t>RESULTS</t>
  </si>
  <si>
    <t>Number of Pumps</t>
  </si>
  <si>
    <t xml:space="preserve">The user can follow calculation process of project and baseline costs, gas savings and emissions. </t>
  </si>
  <si>
    <t>The calculation process of project and baseline costs, gas savings and emissions is presented below.</t>
  </si>
  <si>
    <t>Mscf/Year</t>
  </si>
  <si>
    <t xml:space="preserve">The abatement cost tool has been developed by Carbon Limits. The abatement cost tool is designed to complement the report "Zero emission technologies for pneumatic controllers in the USA" and provide the user with the possibility to evaluate the abatement cost for a variety of site configurations and based on a range of assumptions. The tool has been designed to evaluate the abatement cost for wide deployment of zero emission controllers. Abatement costs are always dependant on site specific considerations and should be evaluated on a case by case basis. </t>
  </si>
  <si>
    <t>The Tool can be navigated through Tab system located below by clicking on the corresponding module title. The tool includes:</t>
  </si>
  <si>
    <t>(Note: sites with more than 8 batteries or more than 3 solar panels are not presented)</t>
  </si>
  <si>
    <t>Instrument Air</t>
  </si>
  <si>
    <t>A</t>
  </si>
  <si>
    <t>B</t>
  </si>
  <si>
    <t xml:space="preserve">Incremental CAPEX </t>
  </si>
  <si>
    <t>The full list of economic and technical assumptions used in the calculations is presented below. The values can be accessed by the user, but cannot be changed.</t>
  </si>
  <si>
    <t>(Sites without electricity or less than 20 controllers are not presented)</t>
  </si>
  <si>
    <t>Are the zero emission options applicable in this case?</t>
  </si>
  <si>
    <t>Emission Factor</t>
  </si>
  <si>
    <t>Total Emissions</t>
  </si>
  <si>
    <t>EMISSIONS ESTIMATE - BASELINE (i.e. current situation)</t>
  </si>
  <si>
    <t>Requirement per unit</t>
  </si>
  <si>
    <t xml:space="preserve">Total </t>
  </si>
  <si>
    <t>Number of units</t>
  </si>
  <si>
    <t>Solar Panel (only when no electricity on-site)</t>
  </si>
  <si>
    <t>Battery  (only when no electricity on-site)</t>
  </si>
  <si>
    <t>Installation costs - ESD -(similar to baseline)</t>
  </si>
  <si>
    <t>ESD (pneumatic ESD) -(similar to baseline)</t>
  </si>
  <si>
    <r>
      <t>CAPEX</t>
    </r>
    <r>
      <rPr>
        <sz val="9"/>
        <color theme="1"/>
        <rFont val="Arial"/>
        <family val="2"/>
        <scheme val="minor"/>
      </rPr>
      <t xml:space="preserve"> (only relevant when the site is new, the CAPEX for retrofit site is 0)</t>
    </r>
  </si>
  <si>
    <t>OPEX OVER TIME</t>
  </si>
  <si>
    <t>Year of project termination</t>
  </si>
  <si>
    <t>KEY RESULTS</t>
  </si>
  <si>
    <t>every X years</t>
  </si>
  <si>
    <t>Level Controller &amp; Level Control Valve (only for new sites)</t>
  </si>
  <si>
    <t>Pressure Controller &amp; Control Valve  (only for new sites)</t>
  </si>
  <si>
    <t>Chemical Pump  (only for new sites)</t>
  </si>
  <si>
    <t>ESD  (only for new sites)</t>
  </si>
  <si>
    <t>Labour - installation - Controller  (only for new sites)</t>
  </si>
  <si>
    <t>Labour - installation - Pump  (only for new sites)</t>
  </si>
  <si>
    <t>Key assumptions (from assumptions sheet)</t>
  </si>
  <si>
    <t>Sizing calculation</t>
  </si>
  <si>
    <t xml:space="preserve">Assumptions Tab contains the full list of financial and technical assumptions used in estimations. </t>
  </si>
  <si>
    <t>Carbon Limits is a consulting company with long standing experience in supporting energy efficiency measures in the petroleum industry. In particular, our team works in close collaboration with industries, government, and public bodies to identify and address inefficiencies in the use of natural gas and through this to achieve reductions in greenhouse gas emissions and other air pollutants. (http://www.carbonlimits.no/)</t>
  </si>
  <si>
    <t>Please provide main input parameters in the grey fields below (default values that can be changed if necessary). Results are presented based for Electric Controllers and Instrument Air depending on which of the options is applicable. Guidance are available when clicking on different cells.</t>
  </si>
  <si>
    <t>VOC Abatement Cost ($/short ton)</t>
  </si>
  <si>
    <t>Methane Abatement Cost ($/short ton)</t>
  </si>
  <si>
    <t>Methane abatement cost ($/metric ton)</t>
  </si>
  <si>
    <t>VOC abatement cost ($/metric ton)</t>
  </si>
  <si>
    <t>VOC abatement cost ($/short ton)</t>
  </si>
  <si>
    <t>Methane Abatement cost ($/short ton)</t>
  </si>
  <si>
    <t>Tons per short ton</t>
  </si>
  <si>
    <t>Methane-ethane per methane</t>
  </si>
  <si>
    <t>Methane-ethane Abatement Cost ($/short ton)</t>
  </si>
  <si>
    <t>Annual VOC Savings (short tons)</t>
  </si>
  <si>
    <t>Annual Methane Savings (short tons)</t>
  </si>
  <si>
    <t>INFORMATION ON COSTS - ANNUALIZED APPROACH</t>
  </si>
  <si>
    <t>Electronic Controllers</t>
  </si>
  <si>
    <t>Remaining lifetime</t>
  </si>
  <si>
    <t xml:space="preserve">Difference in CAPEX </t>
  </si>
  <si>
    <t>Difference in equipment costs</t>
  </si>
  <si>
    <t>Difference in equipment costs - Annualized</t>
  </si>
  <si>
    <t>Difference in installation costs</t>
  </si>
  <si>
    <t>Difference in installation costs - Annualized</t>
  </si>
  <si>
    <t>NOTE:  ABATEMENT COSTS IN ROWS 43-49 ARE CALCULATED USING NET PRESENT VALUE.  SEE ROWS 57-75 FOR VALUES CALCULATED WITH AN ANNUALIZATION APPROACH</t>
  </si>
  <si>
    <t>Annual VOC savings (short tons)</t>
  </si>
  <si>
    <t>Annual Methane savings (short tons)</t>
  </si>
  <si>
    <t>Annual Methane-ethane savings (Short ton)</t>
  </si>
  <si>
    <t>Difference in ongoing Cost - Annual (average)</t>
  </si>
  <si>
    <t>Difference in CAPEX - Annualized</t>
  </si>
  <si>
    <t>Value of Saved Gas - Annual</t>
  </si>
  <si>
    <t>Total annualized Cost  - Difference</t>
  </si>
  <si>
    <t>Remaining Lifetime</t>
  </si>
  <si>
    <r>
      <t xml:space="preserve">The dashboard is the central tab in the excel. The user can set the main input parameters and assumptions. Abatement costs are then presented for Electric Controllers and Instrument Air when relevant. </t>
    </r>
    <r>
      <rPr>
        <b/>
        <sz val="11"/>
        <color theme="1" tint="0.249977111117893"/>
        <rFont val="Arial"/>
        <family val="2"/>
        <scheme val="minor"/>
      </rPr>
      <t>NOTE: CATF, in consultation with Carbon Limits, has augmented the Dashboard so that it presents summary statistics relevant for calculating costs using an Annualization approach.</t>
    </r>
  </si>
  <si>
    <t>ROS gas composition</t>
  </si>
  <si>
    <t>NAA gas composition</t>
  </si>
  <si>
    <t>ROS</t>
  </si>
  <si>
    <t>NAA</t>
  </si>
  <si>
    <t>Share methane in the Gas-ROS</t>
  </si>
  <si>
    <t>Share of VOC in the gas-ROS</t>
  </si>
  <si>
    <t>Share methane in the Gas-NAA</t>
  </si>
  <si>
    <t>Share of VOC in the gas-NAA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</si>
</sst>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4" formatCode="_(&quot;$&quot;* #,##0.00_);_(&quot;$&quot;* \(#,##0.00\);_(&quot;$&quot;* &quot;-&quot;??_);_(@_)"/>
    <numFmt numFmtId="43" formatCode="_(* #,##0.00_);_(* \(#,##0.00\);_(* &quot;-&quot;??_);_(@_)"/>
    <numFmt numFmtId="164" formatCode="0.0000"/>
    <numFmt numFmtId="165" formatCode="0.0"/>
    <numFmt numFmtId="166" formatCode="0.00000"/>
    <numFmt numFmtId="167" formatCode="#,##0.000"/>
    <numFmt numFmtId="168" formatCode="0&quot; years&quot;\ "/>
    <numFmt numFmtId="169" formatCode="0&quot; Units&quot;"/>
    <numFmt numFmtId="170" formatCode="[$$-C09]#,##0;\-[$$-C09]#,##0"/>
    <numFmt numFmtId="171" formatCode="0.0&quot; cf/h&quot;"/>
    <numFmt numFmtId="172" formatCode="0&quot; USD/tCH4&quot;"/>
    <numFmt numFmtId="173" formatCode="#,##0.0"/>
    <numFmt numFmtId="174" formatCode="#,##0_ ;\-#,##0\ "/>
    <numFmt numFmtId="175" formatCode="#,##0.00_ ;\-#,##0.00\ "/>
    <numFmt numFmtId="176" formatCode="[$$-C09]#,##0.00;\-[$$-C09]#,##0.00"/>
    <numFmt numFmtId="177" formatCode="&quot;Year &quot;\ 0"/>
    <numFmt numFmtId="178" formatCode="0.00&quot; cf/h&quot;"/>
    <numFmt numFmtId="179" formatCode="&quot;$&quot;#,##0"/>
    <numFmt numFmtId="180" formatCode="_(* #,##0_);_(* \(#,##0\);_(* &quot;-&quot;??_);_(@_)"/>
    <numFmt numFmtId="181" formatCode="_(&quot;$&quot;* #,##0_);_(&quot;$&quot;* \(#,##0\);_(&quot;$&quot;* &quot;-&quot;??_);_(@_)"/>
    <numFmt numFmtId="182" formatCode="0.00&quot; USD/Mscf&quot;\ "/>
  </numFmts>
  <fonts count="68">
    <font>
      <sz val="11"/>
      <color theme="1"/>
      <name val="Arial"/>
      <family val="2"/>
      <scheme val="minor"/>
    </font>
    <font>
      <sz val="12"/>
      <color theme="1"/>
      <name val="Arial"/>
      <family val="2"/>
      <scheme val="minor"/>
    </font>
    <font>
      <b/>
      <sz val="9"/>
      <color theme="0"/>
      <name val="Arial"/>
      <family val="2"/>
      <scheme val="minor"/>
    </font>
    <font>
      <sz val="9"/>
      <color theme="1"/>
      <name val="Arial"/>
      <family val="2"/>
      <scheme val="minor"/>
    </font>
    <font>
      <b/>
      <sz val="9"/>
      <color theme="1"/>
      <name val="Arial"/>
      <family val="2"/>
      <scheme val="minor"/>
    </font>
    <font>
      <sz val="9"/>
      <color theme="0"/>
      <name val="Arial"/>
      <family val="2"/>
      <scheme val="minor"/>
    </font>
    <font>
      <sz val="9"/>
      <color theme="0" tint="-0.249977111117893"/>
      <name val="Arial"/>
      <family val="2"/>
      <scheme val="minor"/>
    </font>
    <font>
      <sz val="9"/>
      <color rgb="FFC00000"/>
      <name val="Arial"/>
      <family val="2"/>
      <scheme val="minor"/>
    </font>
    <font>
      <sz val="11"/>
      <color theme="1"/>
      <name val="Arial"/>
      <family val="2"/>
      <scheme val="minor"/>
    </font>
    <font>
      <sz val="11"/>
      <color theme="0"/>
      <name val="Arial"/>
      <family val="2"/>
      <scheme val="minor"/>
    </font>
    <font>
      <sz val="9"/>
      <color theme="8" tint="-0.499984740745262"/>
      <name val="Arial"/>
      <family val="2"/>
      <scheme val="minor"/>
    </font>
    <font>
      <sz val="8"/>
      <color theme="0" tint="-0.34998626667073579"/>
      <name val="Arial"/>
      <family val="2"/>
      <scheme val="minor"/>
    </font>
    <font>
      <sz val="9"/>
      <color theme="3" tint="-0.499984740745262"/>
      <name val="Arial"/>
      <family val="2"/>
      <scheme val="minor"/>
    </font>
    <font>
      <b/>
      <sz val="9"/>
      <color theme="3" tint="-0.499984740745262"/>
      <name val="Arial"/>
      <family val="2"/>
      <scheme val="minor"/>
    </font>
    <font>
      <b/>
      <u/>
      <sz val="9"/>
      <color theme="1"/>
      <name val="Arial"/>
      <family val="2"/>
      <scheme val="minor"/>
    </font>
    <font>
      <sz val="8"/>
      <color theme="1"/>
      <name val="Arial"/>
      <family val="2"/>
      <scheme val="minor"/>
    </font>
    <font>
      <sz val="9"/>
      <color indexed="81"/>
      <name val="Tahoma"/>
      <family val="2"/>
    </font>
    <font>
      <b/>
      <sz val="9"/>
      <color indexed="81"/>
      <name val="Tahoma"/>
      <family val="2"/>
    </font>
    <font>
      <sz val="8"/>
      <color theme="0"/>
      <name val="Arial"/>
      <family val="2"/>
      <scheme val="minor"/>
    </font>
    <font>
      <sz val="10"/>
      <color theme="1"/>
      <name val="Arial"/>
      <family val="2"/>
      <scheme val="minor"/>
    </font>
    <font>
      <sz val="9"/>
      <name val="Geneva"/>
      <family val="2"/>
    </font>
    <font>
      <b/>
      <sz val="9"/>
      <color theme="3"/>
      <name val="Arial"/>
      <family val="2"/>
      <scheme val="minor"/>
    </font>
    <font>
      <b/>
      <sz val="9"/>
      <color rgb="FFC00000"/>
      <name val="Arial"/>
      <family val="2"/>
      <scheme val="minor"/>
    </font>
    <font>
      <sz val="9"/>
      <color theme="8" tint="-0.499984740745262"/>
      <name val="Calibri"/>
      <family val="2"/>
    </font>
    <font>
      <b/>
      <sz val="12"/>
      <color theme="9" tint="-0.249977111117893"/>
      <name val="Arial"/>
      <family val="2"/>
      <scheme val="minor"/>
    </font>
    <font>
      <b/>
      <sz val="12"/>
      <color theme="4"/>
      <name val="Arial"/>
      <family val="2"/>
      <scheme val="minor"/>
    </font>
    <font>
      <i/>
      <sz val="10"/>
      <color theme="9" tint="-0.249977111117893"/>
      <name val="Arial"/>
      <family val="2"/>
      <scheme val="minor"/>
    </font>
    <font>
      <sz val="11"/>
      <color theme="9" tint="-0.249977111117893"/>
      <name val="Arial"/>
      <family val="2"/>
      <scheme val="minor"/>
    </font>
    <font>
      <i/>
      <sz val="11"/>
      <color theme="9" tint="-0.249977111117893"/>
      <name val="Arial"/>
      <family val="2"/>
      <scheme val="minor"/>
    </font>
    <font>
      <i/>
      <sz val="11"/>
      <color rgb="FFFF0000"/>
      <name val="Arial"/>
      <family val="2"/>
      <scheme val="minor"/>
    </font>
    <font>
      <i/>
      <sz val="11"/>
      <color theme="1"/>
      <name val="Arial"/>
      <family val="2"/>
      <scheme val="minor"/>
    </font>
    <font>
      <b/>
      <i/>
      <sz val="11"/>
      <color theme="9" tint="-0.249977111117893"/>
      <name val="Arial"/>
      <family val="2"/>
      <scheme val="minor"/>
    </font>
    <font>
      <b/>
      <sz val="11"/>
      <color theme="9" tint="-0.249977111117893"/>
      <name val="Arial"/>
      <family val="2"/>
      <scheme val="minor"/>
    </font>
    <font>
      <b/>
      <sz val="8"/>
      <color theme="3" tint="-0.499984740745262"/>
      <name val="Arial"/>
      <family val="2"/>
      <scheme val="minor"/>
    </font>
    <font>
      <sz val="9"/>
      <color theme="9" tint="-0.249977111117893"/>
      <name val="Arial"/>
      <family val="2"/>
      <scheme val="minor"/>
    </font>
    <font>
      <sz val="8"/>
      <color theme="1"/>
      <name val="Arial"/>
      <family val="2"/>
      <scheme val="minor"/>
    </font>
    <font>
      <sz val="9"/>
      <color theme="1" tint="0.499984740745262"/>
      <name val="Arial"/>
      <family val="2"/>
      <scheme val="minor"/>
    </font>
    <font>
      <b/>
      <sz val="14"/>
      <color theme="1"/>
      <name val="Arial"/>
      <family val="2"/>
      <scheme val="minor"/>
    </font>
    <font>
      <b/>
      <sz val="22"/>
      <color theme="9" tint="-0.499984740745262"/>
      <name val="Arial"/>
      <family val="2"/>
      <scheme val="minor"/>
    </font>
    <font>
      <b/>
      <sz val="18"/>
      <color theme="4"/>
      <name val="Arial"/>
      <family val="2"/>
      <scheme val="minor"/>
    </font>
    <font>
      <b/>
      <sz val="16"/>
      <color theme="0"/>
      <name val="Arial"/>
      <family val="2"/>
      <scheme val="minor"/>
    </font>
    <font>
      <b/>
      <sz val="16"/>
      <color theme="0" tint="-0.249977111117893"/>
      <name val="Arial"/>
      <family val="2"/>
      <scheme val="minor"/>
    </font>
    <font>
      <sz val="8"/>
      <color rgb="FF2BB673"/>
      <name val="Arial"/>
      <family val="2"/>
      <scheme val="minor"/>
    </font>
    <font>
      <b/>
      <sz val="12"/>
      <color theme="3"/>
      <name val="Arial"/>
      <family val="2"/>
      <scheme val="minor"/>
    </font>
    <font>
      <sz val="12"/>
      <color theme="3"/>
      <name val="Arial"/>
      <family val="2"/>
      <scheme val="minor"/>
    </font>
    <font>
      <sz val="10"/>
      <color theme="0" tint="-0.499984740745262"/>
      <name val="Arial"/>
      <family val="2"/>
      <scheme val="minor"/>
    </font>
    <font>
      <b/>
      <sz val="16"/>
      <color theme="4"/>
      <name val="Arial"/>
      <family val="2"/>
      <scheme val="minor"/>
    </font>
    <font>
      <sz val="11"/>
      <color theme="1" tint="0.249977111117893"/>
      <name val="Arial"/>
      <family val="2"/>
      <scheme val="minor"/>
    </font>
    <font>
      <b/>
      <sz val="11"/>
      <color theme="1" tint="0.249977111117893"/>
      <name val="Arial"/>
      <family val="2"/>
      <scheme val="minor"/>
    </font>
    <font>
      <b/>
      <sz val="16"/>
      <color theme="9" tint="-0.249977111117893"/>
      <name val="Arial"/>
      <family val="2"/>
      <scheme val="minor"/>
    </font>
    <font>
      <sz val="10"/>
      <color theme="9" tint="-0.249977111117893"/>
      <name val="Arial"/>
      <family val="2"/>
      <scheme val="minor"/>
    </font>
    <font>
      <sz val="8"/>
      <color theme="0" tint="-0.249977111117893"/>
      <name val="Arial"/>
      <family val="2"/>
      <scheme val="minor"/>
    </font>
    <font>
      <b/>
      <sz val="9"/>
      <color theme="9" tint="-0.249977111117893"/>
      <name val="Arial"/>
      <family val="2"/>
      <scheme val="minor"/>
    </font>
    <font>
      <b/>
      <sz val="10"/>
      <color theme="1" tint="0.14999847407452621"/>
      <name val="Arial"/>
      <family val="2"/>
      <scheme val="minor"/>
    </font>
    <font>
      <u/>
      <sz val="11"/>
      <color theme="11"/>
      <name val="Arial"/>
      <family val="2"/>
      <scheme val="minor"/>
    </font>
    <font>
      <b/>
      <i/>
      <sz val="11"/>
      <color theme="0"/>
      <name val="Arial"/>
      <family val="2"/>
      <scheme val="minor"/>
    </font>
    <font>
      <b/>
      <sz val="16"/>
      <name val="Arial"/>
      <family val="2"/>
      <scheme val="minor"/>
    </font>
    <font>
      <sz val="11"/>
      <name val="Arial"/>
      <family val="2"/>
      <scheme val="minor"/>
    </font>
    <font>
      <sz val="10"/>
      <name val="Arial"/>
      <family val="2"/>
      <scheme val="minor"/>
    </font>
    <font>
      <sz val="9"/>
      <name val="Arial"/>
      <family val="2"/>
      <scheme val="minor"/>
    </font>
    <font>
      <b/>
      <sz val="10"/>
      <name val="Arial"/>
      <family val="2"/>
      <scheme val="minor"/>
    </font>
    <font>
      <i/>
      <sz val="10"/>
      <color theme="0"/>
      <name val="Arial"/>
      <family val="2"/>
      <scheme val="minor"/>
    </font>
    <font>
      <b/>
      <sz val="10"/>
      <color theme="9" tint="-0.249977111117893"/>
      <name val="Arial"/>
      <family val="2"/>
      <scheme val="minor"/>
    </font>
    <font>
      <sz val="10"/>
      <color indexed="81"/>
      <name val="Calibri"/>
      <family val="2"/>
    </font>
    <font>
      <b/>
      <sz val="10"/>
      <color indexed="81"/>
      <name val="Calibri"/>
      <family val="2"/>
    </font>
    <font>
      <sz val="9"/>
      <color rgb="FF000000"/>
      <name val="Tahoma"/>
      <family val="2"/>
    </font>
    <font>
      <b/>
      <sz val="10"/>
      <color rgb="FF000000"/>
      <name val="Calibri"/>
      <family val="2"/>
    </font>
    <font>
      <sz val="10"/>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0"/>
        <bgColor indexed="64"/>
      </patternFill>
    </fill>
    <fill>
      <patternFill patternType="solid">
        <fgColor rgb="FF8B5D55"/>
        <bgColor indexed="64"/>
      </patternFill>
    </fill>
  </fills>
  <borders count="2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3" tint="-0.499984740745262"/>
      </bottom>
      <diagonal/>
    </border>
    <border>
      <left style="dotted">
        <color theme="3" tint="-0.499984740745262"/>
      </left>
      <right/>
      <top style="dotted">
        <color theme="3" tint="-0.499984740745262"/>
      </top>
      <bottom/>
      <diagonal/>
    </border>
    <border>
      <left/>
      <right/>
      <top style="dotted">
        <color theme="3" tint="-0.499984740745262"/>
      </top>
      <bottom/>
      <diagonal/>
    </border>
    <border>
      <left/>
      <right style="dotted">
        <color theme="3" tint="-0.499984740745262"/>
      </right>
      <top style="dotted">
        <color theme="3" tint="-0.499984740745262"/>
      </top>
      <bottom/>
      <diagonal/>
    </border>
    <border>
      <left style="dotted">
        <color theme="3" tint="-0.499984740745262"/>
      </left>
      <right/>
      <top/>
      <bottom/>
      <diagonal/>
    </border>
    <border>
      <left/>
      <right style="dotted">
        <color theme="3" tint="-0.499984740745262"/>
      </right>
      <top/>
      <bottom/>
      <diagonal/>
    </border>
    <border>
      <left style="dotted">
        <color theme="3" tint="-0.499984740745262"/>
      </left>
      <right/>
      <top/>
      <bottom style="dotted">
        <color theme="3" tint="-0.499984740745262"/>
      </bottom>
      <diagonal/>
    </border>
    <border>
      <left/>
      <right/>
      <top/>
      <bottom style="dotted">
        <color theme="3" tint="-0.499984740745262"/>
      </bottom>
      <diagonal/>
    </border>
    <border>
      <left/>
      <right style="dotted">
        <color theme="3" tint="-0.499984740745262"/>
      </right>
      <top/>
      <bottom style="dotted">
        <color theme="3" tint="-0.499984740745262"/>
      </bottom>
      <diagonal/>
    </border>
    <border>
      <left/>
      <right style="thin">
        <color theme="0" tint="-0.249977111117893"/>
      </right>
      <top/>
      <bottom/>
      <diagonal/>
    </border>
    <border>
      <left/>
      <right/>
      <top/>
      <bottom style="thin">
        <color theme="0" tint="-0.249977111117893"/>
      </bottom>
      <diagonal/>
    </border>
    <border>
      <left/>
      <right/>
      <top/>
      <bottom style="dotted">
        <color theme="9" tint="0.3999755851924192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dotted">
        <color theme="1" tint="0.499984740745262"/>
      </left>
      <right/>
      <top style="dotted">
        <color theme="1" tint="0.499984740745262"/>
      </top>
      <bottom/>
      <diagonal/>
    </border>
    <border>
      <left/>
      <right/>
      <top style="dotted">
        <color theme="1" tint="0.499984740745262"/>
      </top>
      <bottom/>
      <diagonal/>
    </border>
    <border>
      <left/>
      <right style="dotted">
        <color theme="1" tint="0.499984740745262"/>
      </right>
      <top style="dotted">
        <color theme="1" tint="0.499984740745262"/>
      </top>
      <bottom/>
      <diagonal/>
    </border>
    <border>
      <left style="dotted">
        <color theme="1" tint="0.499984740745262"/>
      </left>
      <right/>
      <top/>
      <bottom/>
      <diagonal/>
    </border>
    <border>
      <left/>
      <right style="dotted">
        <color theme="1" tint="0.499984740745262"/>
      </right>
      <top/>
      <bottom/>
      <diagonal/>
    </border>
    <border>
      <left style="dotted">
        <color theme="1" tint="0.499984740745262"/>
      </left>
      <right/>
      <top/>
      <bottom style="dotted">
        <color theme="1" tint="0.499984740745262"/>
      </bottom>
      <diagonal/>
    </border>
    <border>
      <left/>
      <right/>
      <top/>
      <bottom style="dotted">
        <color theme="1" tint="0.499984740745262"/>
      </bottom>
      <diagonal/>
    </border>
    <border>
      <left/>
      <right style="dotted">
        <color theme="1" tint="0.499984740745262"/>
      </right>
      <top/>
      <bottom style="dotted">
        <color theme="1" tint="0.499984740745262"/>
      </bottom>
      <diagonal/>
    </border>
  </borders>
  <cellStyleXfs count="22">
    <xf numFmtId="170" fontId="0" fillId="0" borderId="0"/>
    <xf numFmtId="9" fontId="8" fillId="0" borderId="0" applyFont="0" applyFill="0" applyBorder="0" applyAlignment="0" applyProtection="0"/>
    <xf numFmtId="3" fontId="20" fillId="0" borderId="0"/>
    <xf numFmtId="43" fontId="8" fillId="0" borderId="0" applyFon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44" fontId="8" fillId="0" borderId="0" applyFon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170" fontId="54" fillId="0" borderId="0" applyNumberFormat="0" applyFill="0" applyBorder="0" applyAlignment="0" applyProtection="0"/>
    <xf numFmtId="43" fontId="1" fillId="0" borderId="0" applyFont="0" applyFill="0" applyBorder="0" applyAlignment="0" applyProtection="0"/>
  </cellStyleXfs>
  <cellXfs count="223">
    <xf numFmtId="170" fontId="0" fillId="0" borderId="0" xfId="0"/>
    <xf numFmtId="170" fontId="3" fillId="0" borderId="1" xfId="0" applyFont="1" applyBorder="1" applyAlignment="1">
      <alignment horizontal="center"/>
    </xf>
    <xf numFmtId="170" fontId="4" fillId="0" borderId="0" xfId="0" applyFont="1"/>
    <xf numFmtId="170" fontId="3" fillId="0" borderId="0" xfId="0" applyFont="1"/>
    <xf numFmtId="170" fontId="3" fillId="0" borderId="0" xfId="0" quotePrefix="1" applyFont="1"/>
    <xf numFmtId="170" fontId="6" fillId="0" borderId="0" xfId="0" applyFont="1" applyAlignment="1">
      <alignment horizontal="center"/>
    </xf>
    <xf numFmtId="170" fontId="3" fillId="0" borderId="2" xfId="0" applyFont="1" applyBorder="1"/>
    <xf numFmtId="170" fontId="4" fillId="2" borderId="1" xfId="0" applyFont="1" applyFill="1" applyBorder="1" applyAlignment="1">
      <alignment horizontal="center"/>
    </xf>
    <xf numFmtId="170" fontId="7" fillId="0" borderId="1" xfId="0" applyFont="1" applyBorder="1" applyAlignment="1">
      <alignment horizontal="center"/>
    </xf>
    <xf numFmtId="170" fontId="4" fillId="0" borderId="0" xfId="0" applyFont="1" applyBorder="1" applyAlignment="1">
      <alignment horizontal="center"/>
    </xf>
    <xf numFmtId="170" fontId="7" fillId="0" borderId="0" xfId="0" applyFont="1" applyBorder="1" applyAlignment="1">
      <alignment horizontal="center"/>
    </xf>
    <xf numFmtId="170" fontId="3" fillId="0" borderId="0" xfId="0" applyFont="1" applyBorder="1"/>
    <xf numFmtId="170" fontId="10" fillId="0" borderId="1" xfId="0" applyFont="1" applyBorder="1" applyAlignment="1">
      <alignment horizontal="center"/>
    </xf>
    <xf numFmtId="164" fontId="3" fillId="0" borderId="1" xfId="0" applyNumberFormat="1" applyFont="1" applyBorder="1" applyAlignment="1">
      <alignment horizontal="center"/>
    </xf>
    <xf numFmtId="170" fontId="11" fillId="0" borderId="0" xfId="0" applyFont="1"/>
    <xf numFmtId="9" fontId="3" fillId="0" borderId="1" xfId="1" applyFont="1" applyBorder="1" applyAlignment="1">
      <alignment horizontal="center"/>
    </xf>
    <xf numFmtId="170" fontId="3" fillId="0" borderId="0" xfId="0" applyFont="1" applyBorder="1" applyAlignment="1">
      <alignment horizontal="center"/>
    </xf>
    <xf numFmtId="170" fontId="14" fillId="0" borderId="0" xfId="0" applyFont="1"/>
    <xf numFmtId="170" fontId="4" fillId="2" borderId="2" xfId="0" applyFont="1" applyFill="1" applyBorder="1" applyAlignment="1">
      <alignment horizontal="center"/>
    </xf>
    <xf numFmtId="170" fontId="4" fillId="2" borderId="3" xfId="0" applyFont="1" applyFill="1" applyBorder="1" applyAlignment="1">
      <alignment horizontal="center"/>
    </xf>
    <xf numFmtId="170" fontId="3" fillId="0" borderId="0" xfId="0" applyFont="1" applyAlignment="1">
      <alignment wrapText="1"/>
    </xf>
    <xf numFmtId="170" fontId="4" fillId="2" borderId="1" xfId="0" applyFont="1" applyFill="1" applyBorder="1" applyAlignment="1">
      <alignment horizontal="center" vertical="center" wrapText="1"/>
    </xf>
    <xf numFmtId="1" fontId="3" fillId="0" borderId="0" xfId="0" applyNumberFormat="1" applyFont="1" applyBorder="1" applyAlignment="1">
      <alignment horizontal="center"/>
    </xf>
    <xf numFmtId="3" fontId="13" fillId="0" borderId="1" xfId="0" applyNumberFormat="1" applyFont="1" applyBorder="1" applyAlignment="1">
      <alignment horizontal="center"/>
    </xf>
    <xf numFmtId="165" fontId="3" fillId="0" borderId="0" xfId="0" applyNumberFormat="1" applyFont="1"/>
    <xf numFmtId="170" fontId="19" fillId="0" borderId="0" xfId="0" applyFont="1"/>
    <xf numFmtId="3" fontId="3" fillId="0" borderId="0" xfId="0" applyNumberFormat="1" applyFont="1" applyBorder="1" applyAlignment="1">
      <alignment horizontal="center"/>
    </xf>
    <xf numFmtId="4" fontId="3" fillId="0" borderId="0" xfId="0" applyNumberFormat="1" applyFont="1" applyBorder="1" applyAlignment="1">
      <alignment horizontal="center"/>
    </xf>
    <xf numFmtId="1" fontId="3" fillId="0" borderId="0" xfId="0" applyNumberFormat="1" applyFont="1"/>
    <xf numFmtId="1" fontId="21" fillId="0" borderId="0" xfId="0" applyNumberFormat="1" applyFont="1"/>
    <xf numFmtId="9" fontId="3" fillId="0" borderId="0" xfId="1" applyFont="1"/>
    <xf numFmtId="166" fontId="3" fillId="0" borderId="0" xfId="0" applyNumberFormat="1" applyFont="1"/>
    <xf numFmtId="170" fontId="3" fillId="0" borderId="2" xfId="0" applyFont="1" applyBorder="1" applyAlignment="1">
      <alignment wrapText="1"/>
    </xf>
    <xf numFmtId="170" fontId="22" fillId="0" borderId="0" xfId="0" applyFont="1" applyBorder="1" applyAlignment="1">
      <alignment horizontal="center"/>
    </xf>
    <xf numFmtId="9" fontId="3" fillId="0" borderId="0" xfId="1" applyFont="1" applyBorder="1"/>
    <xf numFmtId="170" fontId="23" fillId="0" borderId="1" xfId="0" applyFont="1" applyBorder="1" applyAlignment="1">
      <alignment horizontal="center"/>
    </xf>
    <xf numFmtId="3" fontId="3" fillId="0" borderId="0" xfId="0" applyNumberFormat="1" applyFont="1"/>
    <xf numFmtId="170" fontId="3" fillId="0" borderId="0" xfId="0" applyFont="1" applyAlignment="1">
      <alignment vertical="center"/>
    </xf>
    <xf numFmtId="170" fontId="24" fillId="0" borderId="0" xfId="0" applyFont="1" applyAlignment="1">
      <alignment horizontal="center" vertical="center"/>
    </xf>
    <xf numFmtId="170" fontId="2" fillId="0" borderId="0" xfId="0" applyFont="1" applyFill="1" applyAlignment="1">
      <alignment vertical="center"/>
    </xf>
    <xf numFmtId="170" fontId="2" fillId="0" borderId="0" xfId="0" applyFont="1" applyFill="1" applyAlignment="1">
      <alignment horizontal="center" vertical="center"/>
    </xf>
    <xf numFmtId="170" fontId="27" fillId="0" borderId="0" xfId="0" applyFont="1" applyAlignment="1">
      <alignment vertical="center"/>
    </xf>
    <xf numFmtId="170" fontId="0" fillId="0" borderId="0" xfId="0" applyAlignment="1">
      <alignment vertical="center"/>
    </xf>
    <xf numFmtId="170" fontId="27" fillId="0" borderId="0" xfId="0" applyFont="1" applyFill="1" applyAlignment="1">
      <alignment horizontal="center" vertical="center"/>
    </xf>
    <xf numFmtId="170" fontId="31" fillId="0" borderId="0" xfId="0" applyFont="1" applyFill="1" applyAlignment="1">
      <alignment horizontal="left" vertical="center"/>
    </xf>
    <xf numFmtId="170" fontId="32" fillId="0" borderId="0" xfId="0" applyFont="1" applyFill="1" applyAlignment="1">
      <alignment vertical="center"/>
    </xf>
    <xf numFmtId="170" fontId="2" fillId="0" borderId="0" xfId="0" applyFont="1" applyFill="1" applyAlignment="1">
      <alignment horizontal="left" vertical="center"/>
    </xf>
    <xf numFmtId="170" fontId="15" fillId="0" borderId="0" xfId="0" applyFont="1"/>
    <xf numFmtId="170" fontId="33" fillId="0" borderId="0" xfId="0" applyFont="1"/>
    <xf numFmtId="170" fontId="33" fillId="0" borderId="5" xfId="0" applyFont="1" applyBorder="1"/>
    <xf numFmtId="170" fontId="26" fillId="0" borderId="0" xfId="0" applyFont="1" applyFill="1" applyAlignment="1">
      <alignment vertical="center" wrapText="1"/>
    </xf>
    <xf numFmtId="170" fontId="0" fillId="0" borderId="6" xfId="0" applyBorder="1"/>
    <xf numFmtId="170" fontId="3" fillId="0" borderId="7" xfId="0" applyFont="1" applyBorder="1" applyAlignment="1">
      <alignment vertical="center"/>
    </xf>
    <xf numFmtId="170" fontId="3" fillId="0" borderId="8" xfId="0" applyFont="1" applyBorder="1" applyAlignment="1">
      <alignment vertical="center"/>
    </xf>
    <xf numFmtId="170" fontId="0" fillId="0" borderId="9" xfId="0" applyBorder="1"/>
    <xf numFmtId="170" fontId="3" fillId="0" borderId="0" xfId="0" applyFont="1" applyBorder="1" applyAlignment="1">
      <alignment vertical="center"/>
    </xf>
    <xf numFmtId="170" fontId="25" fillId="0" borderId="0" xfId="0" applyFont="1" applyFill="1" applyBorder="1" applyAlignment="1">
      <alignment vertical="center"/>
    </xf>
    <xf numFmtId="170" fontId="2" fillId="0" borderId="0" xfId="0" applyFont="1" applyFill="1" applyBorder="1" applyAlignment="1">
      <alignment horizontal="center" vertical="center"/>
    </xf>
    <xf numFmtId="170" fontId="2" fillId="0" borderId="10" xfId="0" applyFont="1" applyFill="1" applyBorder="1" applyAlignment="1">
      <alignment vertical="center"/>
    </xf>
    <xf numFmtId="170" fontId="26" fillId="0" borderId="0" xfId="0" applyFont="1" applyFill="1" applyBorder="1" applyAlignment="1">
      <alignment vertical="center" wrapText="1"/>
    </xf>
    <xf numFmtId="170" fontId="26" fillId="0" borderId="10" xfId="0" applyFont="1" applyFill="1" applyBorder="1" applyAlignment="1">
      <alignment vertical="center" wrapText="1"/>
    </xf>
    <xf numFmtId="170" fontId="28" fillId="0" borderId="10" xfId="0" applyFont="1" applyBorder="1" applyAlignment="1">
      <alignment horizontal="left" vertical="center"/>
    </xf>
    <xf numFmtId="170" fontId="29" fillId="0" borderId="10" xfId="0" applyFont="1" applyBorder="1" applyAlignment="1">
      <alignment horizontal="left" vertical="center"/>
    </xf>
    <xf numFmtId="170" fontId="34" fillId="0" borderId="0" xfId="0" applyFont="1" applyBorder="1" applyAlignment="1">
      <alignment vertical="center"/>
    </xf>
    <xf numFmtId="170" fontId="0" fillId="0" borderId="11" xfId="0" applyBorder="1"/>
    <xf numFmtId="170" fontId="3" fillId="0" borderId="12" xfId="0" applyFont="1" applyBorder="1" applyAlignment="1">
      <alignment vertical="center"/>
    </xf>
    <xf numFmtId="170" fontId="27" fillId="0" borderId="12" xfId="0" applyFont="1" applyBorder="1" applyAlignment="1">
      <alignment vertical="center"/>
    </xf>
    <xf numFmtId="170" fontId="0" fillId="0" borderId="12" xfId="0" applyBorder="1" applyAlignment="1">
      <alignment horizontal="center" vertical="center"/>
    </xf>
    <xf numFmtId="170" fontId="30" fillId="0" borderId="13" xfId="0" applyFont="1" applyBorder="1" applyAlignment="1">
      <alignment vertical="center"/>
    </xf>
    <xf numFmtId="9" fontId="15" fillId="0" borderId="0" xfId="0" applyNumberFormat="1" applyFont="1"/>
    <xf numFmtId="170" fontId="18" fillId="0" borderId="0" xfId="0" applyFont="1"/>
    <xf numFmtId="170" fontId="3" fillId="5" borderId="2" xfId="0" applyFont="1" applyFill="1" applyBorder="1"/>
    <xf numFmtId="170" fontId="3" fillId="5" borderId="1" xfId="0" applyFont="1" applyFill="1" applyBorder="1"/>
    <xf numFmtId="170" fontId="4" fillId="5" borderId="1" xfId="0" applyFont="1" applyFill="1" applyBorder="1"/>
    <xf numFmtId="170" fontId="7" fillId="5" borderId="1" xfId="0" applyFont="1" applyFill="1" applyBorder="1" applyAlignment="1">
      <alignment horizontal="center"/>
    </xf>
    <xf numFmtId="2" fontId="3" fillId="5" borderId="1" xfId="0" applyNumberFormat="1" applyFont="1" applyFill="1" applyBorder="1" applyAlignment="1">
      <alignment horizontal="center"/>
    </xf>
    <xf numFmtId="2" fontId="12" fillId="5" borderId="1" xfId="0" applyNumberFormat="1" applyFont="1" applyFill="1" applyBorder="1" applyAlignment="1">
      <alignment horizontal="center"/>
    </xf>
    <xf numFmtId="1" fontId="13" fillId="5" borderId="1" xfId="0" applyNumberFormat="1" applyFont="1" applyFill="1" applyBorder="1" applyAlignment="1">
      <alignment horizontal="center"/>
    </xf>
    <xf numFmtId="170" fontId="22" fillId="5" borderId="1" xfId="0" applyFont="1" applyFill="1" applyBorder="1" applyAlignment="1">
      <alignment horizontal="center"/>
    </xf>
    <xf numFmtId="164" fontId="12" fillId="5" borderId="1" xfId="0" applyNumberFormat="1" applyFont="1" applyFill="1" applyBorder="1" applyAlignment="1">
      <alignment horizontal="center"/>
    </xf>
    <xf numFmtId="165" fontId="12" fillId="5" borderId="1" xfId="0" applyNumberFormat="1" applyFont="1" applyFill="1" applyBorder="1" applyAlignment="1">
      <alignment horizontal="center"/>
    </xf>
    <xf numFmtId="2" fontId="4" fillId="5" borderId="1" xfId="0" applyNumberFormat="1" applyFont="1" applyFill="1" applyBorder="1" applyAlignment="1">
      <alignment horizontal="center"/>
    </xf>
    <xf numFmtId="9" fontId="3" fillId="5" borderId="1" xfId="1" applyFont="1" applyFill="1" applyBorder="1" applyAlignment="1">
      <alignment horizontal="center"/>
    </xf>
    <xf numFmtId="1" fontId="3" fillId="5" borderId="1" xfId="0" applyNumberFormat="1" applyFont="1" applyFill="1" applyBorder="1" applyAlignment="1">
      <alignment horizontal="center"/>
    </xf>
    <xf numFmtId="3" fontId="3" fillId="5" borderId="1" xfId="0" applyNumberFormat="1" applyFont="1" applyFill="1" applyBorder="1" applyAlignment="1">
      <alignment horizontal="center"/>
    </xf>
    <xf numFmtId="3" fontId="3" fillId="5" borderId="2" xfId="0" applyNumberFormat="1" applyFont="1" applyFill="1" applyBorder="1" applyAlignment="1">
      <alignment horizontal="center"/>
    </xf>
    <xf numFmtId="170" fontId="7" fillId="5" borderId="1" xfId="0" applyFont="1" applyFill="1" applyBorder="1" applyAlignment="1">
      <alignment horizontal="center" vertical="center"/>
    </xf>
    <xf numFmtId="170" fontId="3" fillId="5" borderId="2" xfId="0" applyFont="1" applyFill="1" applyBorder="1" applyAlignment="1">
      <alignment horizontal="center" vertical="center"/>
    </xf>
    <xf numFmtId="1" fontId="3" fillId="5" borderId="2" xfId="0" applyNumberFormat="1" applyFont="1" applyFill="1" applyBorder="1" applyAlignment="1">
      <alignment horizontal="center" vertical="center"/>
    </xf>
    <xf numFmtId="165" fontId="3" fillId="5" borderId="1" xfId="0" applyNumberFormat="1" applyFont="1" applyFill="1" applyBorder="1" applyAlignment="1">
      <alignment horizontal="center"/>
    </xf>
    <xf numFmtId="3" fontId="13" fillId="5" borderId="1" xfId="0" applyNumberFormat="1" applyFont="1" applyFill="1" applyBorder="1" applyAlignment="1">
      <alignment horizontal="center"/>
    </xf>
    <xf numFmtId="170" fontId="5" fillId="0" borderId="0" xfId="0" applyFont="1"/>
    <xf numFmtId="170" fontId="3" fillId="5" borderId="2" xfId="0" applyFont="1" applyFill="1" applyBorder="1" applyAlignment="1">
      <alignment wrapText="1"/>
    </xf>
    <xf numFmtId="170" fontId="5" fillId="0" borderId="14" xfId="0" applyFont="1" applyBorder="1" applyAlignment="1">
      <alignment wrapText="1"/>
    </xf>
    <xf numFmtId="170" fontId="7" fillId="5" borderId="2" xfId="0" applyFont="1" applyFill="1" applyBorder="1" applyAlignment="1">
      <alignment horizontal="center"/>
    </xf>
    <xf numFmtId="170" fontId="7" fillId="5" borderId="3" xfId="0" applyFont="1" applyFill="1" applyBorder="1" applyAlignment="1">
      <alignment horizontal="center"/>
    </xf>
    <xf numFmtId="171" fontId="26" fillId="0" borderId="0" xfId="0" applyNumberFormat="1" applyFont="1" applyFill="1" applyBorder="1" applyAlignment="1">
      <alignment vertical="center" wrapText="1"/>
    </xf>
    <xf numFmtId="2" fontId="13" fillId="5" borderId="1" xfId="0" applyNumberFormat="1" applyFont="1" applyFill="1" applyBorder="1" applyAlignment="1">
      <alignment horizontal="center"/>
    </xf>
    <xf numFmtId="170" fontId="36" fillId="0" borderId="0" xfId="0" applyFont="1"/>
    <xf numFmtId="170" fontId="2" fillId="6" borderId="0" xfId="0" applyFont="1" applyFill="1" applyBorder="1" applyAlignment="1">
      <alignment vertical="center"/>
    </xf>
    <xf numFmtId="170" fontId="9" fillId="6" borderId="0" xfId="0" applyFont="1" applyFill="1" applyAlignment="1">
      <alignment vertical="center"/>
    </xf>
    <xf numFmtId="170" fontId="9" fillId="6" borderId="0" xfId="0" applyFont="1" applyFill="1" applyBorder="1" applyAlignment="1">
      <alignment vertical="center"/>
    </xf>
    <xf numFmtId="170" fontId="9" fillId="0" borderId="0" xfId="0" applyFont="1" applyAlignment="1">
      <alignment vertical="center"/>
    </xf>
    <xf numFmtId="170" fontId="9" fillId="0" borderId="0" xfId="0" applyFont="1"/>
    <xf numFmtId="173" fontId="3" fillId="5" borderId="1" xfId="0" applyNumberFormat="1" applyFont="1" applyFill="1" applyBorder="1" applyAlignment="1">
      <alignment horizontal="center"/>
    </xf>
    <xf numFmtId="167" fontId="3" fillId="5" borderId="1" xfId="0" applyNumberFormat="1" applyFont="1" applyFill="1" applyBorder="1" applyAlignment="1">
      <alignment horizontal="center"/>
    </xf>
    <xf numFmtId="170" fontId="3" fillId="0" borderId="15" xfId="0" applyFont="1" applyBorder="1"/>
    <xf numFmtId="1" fontId="22" fillId="5" borderId="1" xfId="0" applyNumberFormat="1" applyFont="1" applyFill="1" applyBorder="1" applyAlignment="1">
      <alignment horizontal="center"/>
    </xf>
    <xf numFmtId="170" fontId="39" fillId="0" borderId="0" xfId="0" applyFont="1" applyAlignment="1">
      <alignment vertical="center"/>
    </xf>
    <xf numFmtId="170" fontId="0" fillId="0" borderId="16" xfId="0" applyBorder="1"/>
    <xf numFmtId="170" fontId="42" fillId="0" borderId="0" xfId="0" applyFont="1"/>
    <xf numFmtId="170" fontId="27" fillId="0" borderId="0" xfId="0" applyFont="1"/>
    <xf numFmtId="170" fontId="43" fillId="0" borderId="0" xfId="0" applyFont="1" applyFill="1" applyAlignment="1">
      <alignment vertical="center"/>
    </xf>
    <xf numFmtId="170" fontId="44" fillId="0" borderId="0" xfId="0" applyFont="1" applyFill="1" applyAlignment="1">
      <alignment vertical="center"/>
    </xf>
    <xf numFmtId="170" fontId="37" fillId="5" borderId="3" xfId="0" applyFont="1" applyFill="1" applyBorder="1" applyAlignment="1">
      <alignment horizontal="center" vertical="center" wrapText="1"/>
    </xf>
    <xf numFmtId="170" fontId="46" fillId="0" borderId="0" xfId="0" applyFont="1" applyAlignment="1">
      <alignment vertical="center"/>
    </xf>
    <xf numFmtId="170" fontId="0" fillId="0" borderId="0" xfId="0" applyBorder="1"/>
    <xf numFmtId="170" fontId="2" fillId="0" borderId="0" xfId="0" applyFont="1" applyFill="1" applyBorder="1" applyAlignment="1">
      <alignment vertical="center"/>
    </xf>
    <xf numFmtId="170" fontId="28" fillId="0" borderId="0" xfId="0" applyFont="1" applyBorder="1" applyAlignment="1">
      <alignment horizontal="left" vertical="center"/>
    </xf>
    <xf numFmtId="170" fontId="25" fillId="0" borderId="0" xfId="0" applyFont="1" applyFill="1" applyBorder="1" applyAlignment="1">
      <alignment vertical="center" wrapText="1"/>
    </xf>
    <xf numFmtId="170" fontId="40" fillId="0" borderId="0" xfId="0" applyFont="1" applyFill="1" applyBorder="1" applyAlignment="1">
      <alignment vertical="center"/>
    </xf>
    <xf numFmtId="170" fontId="9" fillId="0" borderId="0" xfId="0" applyFont="1" applyFill="1"/>
    <xf numFmtId="170" fontId="48" fillId="5" borderId="0" xfId="0" applyFont="1" applyFill="1" applyAlignment="1">
      <alignment horizontal="center" vertical="center"/>
    </xf>
    <xf numFmtId="170" fontId="47" fillId="0" borderId="0" xfId="0" applyFont="1"/>
    <xf numFmtId="170" fontId="49" fillId="0" borderId="0" xfId="0" applyFont="1" applyFill="1" applyBorder="1" applyAlignment="1">
      <alignment vertical="center"/>
    </xf>
    <xf numFmtId="170" fontId="27" fillId="0" borderId="0" xfId="0" applyFont="1" applyFill="1"/>
    <xf numFmtId="170" fontId="50" fillId="0" borderId="0" xfId="0" applyFont="1" applyBorder="1" applyAlignment="1">
      <alignment horizontal="left" vertical="center" wrapText="1"/>
    </xf>
    <xf numFmtId="170" fontId="50" fillId="0" borderId="0" xfId="0" applyFont="1" applyBorder="1" applyAlignment="1">
      <alignment horizontal="left" vertical="center"/>
    </xf>
    <xf numFmtId="169" fontId="50" fillId="4" borderId="4" xfId="0" applyNumberFormat="1" applyFont="1" applyFill="1" applyBorder="1" applyAlignment="1">
      <alignment horizontal="center" vertical="center" wrapText="1"/>
    </xf>
    <xf numFmtId="170" fontId="50" fillId="5" borderId="4" xfId="0" applyFont="1" applyFill="1" applyBorder="1" applyAlignment="1">
      <alignment horizontal="center" vertical="center" wrapText="1"/>
    </xf>
    <xf numFmtId="170" fontId="50" fillId="0" borderId="0" xfId="0" applyFont="1" applyBorder="1" applyAlignment="1">
      <alignment vertical="center"/>
    </xf>
    <xf numFmtId="170" fontId="50" fillId="5" borderId="4" xfId="0" applyFont="1" applyFill="1" applyBorder="1" applyAlignment="1">
      <alignment horizontal="center" vertical="center"/>
    </xf>
    <xf numFmtId="9" fontId="50" fillId="4" borderId="4" xfId="1" applyFont="1" applyFill="1" applyBorder="1" applyAlignment="1">
      <alignment horizontal="center" vertical="center" wrapText="1"/>
    </xf>
    <xf numFmtId="168" fontId="50" fillId="4" borderId="4" xfId="0" applyNumberFormat="1" applyFont="1" applyFill="1" applyBorder="1" applyAlignment="1">
      <alignment horizontal="center" vertical="center" wrapText="1"/>
    </xf>
    <xf numFmtId="172" fontId="50" fillId="4" borderId="4" xfId="0" applyNumberFormat="1" applyFont="1" applyFill="1" applyBorder="1" applyAlignment="1">
      <alignment horizontal="center" vertical="center" wrapText="1"/>
    </xf>
    <xf numFmtId="171" fontId="50" fillId="4" borderId="4" xfId="0" applyNumberFormat="1" applyFont="1" applyFill="1" applyBorder="1" applyAlignment="1">
      <alignment horizontal="center" vertical="center" wrapText="1"/>
    </xf>
    <xf numFmtId="170" fontId="50" fillId="0" borderId="12" xfId="0" applyFont="1" applyBorder="1" applyAlignment="1">
      <alignment vertical="center"/>
    </xf>
    <xf numFmtId="170" fontId="19" fillId="0" borderId="12" xfId="0" applyFont="1" applyBorder="1" applyAlignment="1">
      <alignment horizontal="center" vertical="center"/>
    </xf>
    <xf numFmtId="174" fontId="2" fillId="3" borderId="0" xfId="0" applyNumberFormat="1" applyFont="1" applyFill="1" applyBorder="1" applyAlignment="1">
      <alignment horizontal="center" vertical="center"/>
    </xf>
    <xf numFmtId="170" fontId="51" fillId="0" borderId="0" xfId="0" applyFont="1" applyFill="1" applyBorder="1" applyAlignment="1">
      <alignment vertical="top" wrapText="1"/>
    </xf>
    <xf numFmtId="174" fontId="3" fillId="0" borderId="1" xfId="0" applyNumberFormat="1" applyFont="1" applyBorder="1" applyAlignment="1">
      <alignment horizontal="center"/>
    </xf>
    <xf numFmtId="175" fontId="3" fillId="0" borderId="1" xfId="0" applyNumberFormat="1" applyFont="1" applyBorder="1" applyAlignment="1">
      <alignment horizontal="center"/>
    </xf>
    <xf numFmtId="2" fontId="3" fillId="0" borderId="1" xfId="0" applyNumberFormat="1" applyFont="1" applyBorder="1" applyAlignment="1">
      <alignment horizontal="center"/>
    </xf>
    <xf numFmtId="1" fontId="3" fillId="0" borderId="1" xfId="0" applyNumberFormat="1" applyFont="1" applyBorder="1" applyAlignment="1">
      <alignment horizontal="center"/>
    </xf>
    <xf numFmtId="176" fontId="3" fillId="0" borderId="1" xfId="0" applyNumberFormat="1" applyFont="1" applyBorder="1" applyAlignment="1">
      <alignment horizontal="center"/>
    </xf>
    <xf numFmtId="174" fontId="3" fillId="0" borderId="1" xfId="0" applyNumberFormat="1" applyFont="1" applyFill="1" applyBorder="1" applyAlignment="1">
      <alignment horizontal="center"/>
    </xf>
    <xf numFmtId="174" fontId="3" fillId="5" borderId="1" xfId="0" applyNumberFormat="1" applyFont="1" applyFill="1" applyBorder="1" applyAlignment="1">
      <alignment horizontal="center"/>
    </xf>
    <xf numFmtId="0" fontId="3" fillId="5" borderId="3" xfId="0" applyNumberFormat="1" applyFont="1" applyFill="1" applyBorder="1" applyAlignment="1">
      <alignment horizontal="center"/>
    </xf>
    <xf numFmtId="170" fontId="50" fillId="7" borderId="0" xfId="0" applyFont="1" applyFill="1" applyBorder="1" applyAlignment="1">
      <alignment horizontal="center" vertical="center" wrapText="1"/>
    </xf>
    <xf numFmtId="170" fontId="27" fillId="0" borderId="0" xfId="0" applyFont="1" applyBorder="1"/>
    <xf numFmtId="170" fontId="52" fillId="0" borderId="0" xfId="0" applyFont="1" applyFill="1" applyBorder="1" applyAlignment="1">
      <alignment horizontal="center" vertical="center"/>
    </xf>
    <xf numFmtId="174" fontId="15" fillId="0" borderId="0" xfId="0" applyNumberFormat="1" applyFont="1"/>
    <xf numFmtId="174" fontId="15" fillId="0" borderId="0" xfId="0" applyNumberFormat="1" applyFont="1" applyBorder="1"/>
    <xf numFmtId="174" fontId="35" fillId="0" borderId="0" xfId="0" applyNumberFormat="1" applyFont="1"/>
    <xf numFmtId="170" fontId="5" fillId="0" borderId="0" xfId="0" applyFont="1" applyFill="1" applyBorder="1"/>
    <xf numFmtId="170" fontId="14" fillId="0" borderId="0" xfId="0" applyFont="1" applyAlignment="1">
      <alignment horizontal="center"/>
    </xf>
    <xf numFmtId="170" fontId="3" fillId="0" borderId="0" xfId="0" applyFont="1" applyFill="1"/>
    <xf numFmtId="177" fontId="4" fillId="2" borderId="1" xfId="0" applyNumberFormat="1" applyFont="1" applyFill="1" applyBorder="1" applyAlignment="1">
      <alignment horizontal="center"/>
    </xf>
    <xf numFmtId="170" fontId="7" fillId="0" borderId="0" xfId="0" applyFont="1" applyFill="1" applyBorder="1"/>
    <xf numFmtId="178" fontId="50" fillId="4" borderId="4" xfId="0" applyNumberFormat="1" applyFont="1" applyFill="1" applyBorder="1" applyAlignment="1">
      <alignment horizontal="center" vertical="center" wrapText="1"/>
    </xf>
    <xf numFmtId="43" fontId="0" fillId="0" borderId="0" xfId="3" applyNumberFormat="1" applyFont="1" applyBorder="1" applyAlignment="1">
      <alignment horizontal="center"/>
    </xf>
    <xf numFmtId="170" fontId="3" fillId="0" borderId="17" xfId="0" applyFont="1" applyFill="1" applyBorder="1"/>
    <xf numFmtId="170" fontId="0" fillId="0" borderId="17" xfId="0" applyBorder="1"/>
    <xf numFmtId="170" fontId="53" fillId="8" borderId="0" xfId="0" applyNumberFormat="1" applyFont="1" applyFill="1" applyBorder="1" applyAlignment="1">
      <alignment horizontal="center" vertical="center"/>
    </xf>
    <xf numFmtId="170" fontId="53" fillId="0" borderId="0" xfId="0" applyNumberFormat="1" applyFont="1" applyFill="1" applyBorder="1" applyAlignment="1">
      <alignment horizontal="center" vertical="center"/>
    </xf>
    <xf numFmtId="2" fontId="53" fillId="9" borderId="0" xfId="3" applyNumberFormat="1" applyFont="1" applyFill="1" applyBorder="1" applyAlignment="1">
      <alignment horizontal="center" vertical="center"/>
    </xf>
    <xf numFmtId="179" fontId="53" fillId="9" borderId="0" xfId="0" applyNumberFormat="1" applyFont="1" applyFill="1" applyBorder="1" applyAlignment="1">
      <alignment horizontal="center" vertical="center"/>
    </xf>
    <xf numFmtId="170" fontId="0" fillId="0" borderId="18" xfId="0" applyBorder="1"/>
    <xf numFmtId="170" fontId="3" fillId="0" borderId="19" xfId="0" applyFont="1" applyBorder="1" applyAlignment="1">
      <alignment vertical="center"/>
    </xf>
    <xf numFmtId="170" fontId="3" fillId="0" borderId="20" xfId="0" applyFont="1" applyBorder="1" applyAlignment="1">
      <alignment vertical="center"/>
    </xf>
    <xf numFmtId="170" fontId="0" fillId="0" borderId="21" xfId="0" applyBorder="1"/>
    <xf numFmtId="170" fontId="26" fillId="0" borderId="22" xfId="0" applyFont="1" applyFill="1" applyBorder="1" applyAlignment="1">
      <alignment vertical="center" wrapText="1"/>
    </xf>
    <xf numFmtId="170" fontId="0" fillId="0" borderId="22" xfId="0" applyBorder="1"/>
    <xf numFmtId="170" fontId="0" fillId="0" borderId="23" xfId="0" applyBorder="1"/>
    <xf numFmtId="170" fontId="0" fillId="0" borderId="24" xfId="0" applyBorder="1"/>
    <xf numFmtId="170" fontId="0" fillId="0" borderId="25" xfId="0" applyBorder="1"/>
    <xf numFmtId="170" fontId="56" fillId="0" borderId="0" xfId="0" applyFont="1" applyFill="1" applyBorder="1" applyAlignment="1">
      <alignment vertical="center"/>
    </xf>
    <xf numFmtId="170" fontId="57" fillId="0" borderId="0" xfId="0" applyFont="1"/>
    <xf numFmtId="170" fontId="57" fillId="0" borderId="0" xfId="0" applyFont="1" applyFill="1"/>
    <xf numFmtId="170" fontId="58" fillId="0" borderId="0" xfId="0" applyFont="1" applyFill="1" applyBorder="1" applyAlignment="1">
      <alignment horizontal="left" vertical="center" wrapText="1"/>
    </xf>
    <xf numFmtId="170" fontId="58" fillId="0" borderId="0" xfId="0" applyNumberFormat="1" applyFont="1" applyFill="1" applyBorder="1" applyAlignment="1">
      <alignment horizontal="center" vertical="center" wrapText="1"/>
    </xf>
    <xf numFmtId="3" fontId="58" fillId="0" borderId="0" xfId="0" applyNumberFormat="1" applyFont="1" applyFill="1" applyBorder="1" applyAlignment="1">
      <alignment horizontal="center" vertical="center" wrapText="1"/>
    </xf>
    <xf numFmtId="170" fontId="58" fillId="0" borderId="0" xfId="0" applyNumberFormat="1" applyFont="1" applyFill="1" applyAlignment="1">
      <alignment horizontal="center" vertical="center"/>
    </xf>
    <xf numFmtId="170" fontId="59" fillId="0" borderId="0" xfId="0" applyFont="1" applyFill="1" applyBorder="1" applyAlignment="1">
      <alignment horizontal="left" vertical="center" wrapText="1"/>
    </xf>
    <xf numFmtId="170" fontId="57" fillId="0" borderId="0" xfId="0" applyFont="1" applyFill="1" applyAlignment="1">
      <alignment horizontal="center"/>
    </xf>
    <xf numFmtId="170" fontId="60" fillId="0" borderId="0" xfId="0" applyFont="1" applyFill="1" applyBorder="1" applyAlignment="1">
      <alignment horizontal="left" vertical="center" wrapText="1"/>
    </xf>
    <xf numFmtId="170" fontId="60" fillId="0" borderId="0" xfId="0" applyNumberFormat="1" applyFont="1" applyFill="1" applyAlignment="1">
      <alignment horizontal="center" vertical="center"/>
    </xf>
    <xf numFmtId="170" fontId="50" fillId="0" borderId="0" xfId="0" applyFont="1" applyBorder="1"/>
    <xf numFmtId="170" fontId="62" fillId="0" borderId="0" xfId="0" applyFont="1" applyFill="1" applyBorder="1" applyAlignment="1">
      <alignment horizontal="center" vertical="center"/>
    </xf>
    <xf numFmtId="170" fontId="19" fillId="0" borderId="0" xfId="0" applyFont="1" applyBorder="1"/>
    <xf numFmtId="170" fontId="19" fillId="0" borderId="0" xfId="0" applyFont="1" applyBorder="1" applyAlignment="1">
      <alignment horizontal="center"/>
    </xf>
    <xf numFmtId="170" fontId="61" fillId="10" borderId="0" xfId="0" applyFont="1" applyFill="1" applyBorder="1" applyAlignment="1">
      <alignment horizontal="center" vertical="center" wrapText="1"/>
    </xf>
    <xf numFmtId="170" fontId="3" fillId="0" borderId="18" xfId="0" applyFont="1" applyBorder="1" applyAlignment="1">
      <alignment vertical="center"/>
    </xf>
    <xf numFmtId="170" fontId="0" fillId="0" borderId="19" xfId="0" applyBorder="1"/>
    <xf numFmtId="174" fontId="2" fillId="3" borderId="21" xfId="0" applyNumberFormat="1" applyFont="1" applyFill="1" applyBorder="1" applyAlignment="1">
      <alignment horizontal="center" vertical="center"/>
    </xf>
    <xf numFmtId="170" fontId="2" fillId="0" borderId="21" xfId="0" applyFont="1" applyFill="1" applyBorder="1" applyAlignment="1">
      <alignment horizontal="center" vertical="center"/>
    </xf>
    <xf numFmtId="170" fontId="3" fillId="0" borderId="21" xfId="0" applyFont="1" applyBorder="1" applyAlignment="1">
      <alignment vertical="center"/>
    </xf>
    <xf numFmtId="43" fontId="0" fillId="0" borderId="24" xfId="3" applyNumberFormat="1" applyFont="1" applyBorder="1" applyAlignment="1">
      <alignment horizontal="center"/>
    </xf>
    <xf numFmtId="170" fontId="25" fillId="0" borderId="22" xfId="0" applyFont="1" applyFill="1" applyBorder="1" applyAlignment="1">
      <alignment vertical="center" wrapText="1"/>
    </xf>
    <xf numFmtId="170" fontId="51" fillId="0" borderId="22" xfId="0" applyFont="1" applyFill="1" applyBorder="1" applyAlignment="1">
      <alignment vertical="top" wrapText="1"/>
    </xf>
    <xf numFmtId="170" fontId="0" fillId="0" borderId="20" xfId="0" applyBorder="1"/>
    <xf numFmtId="170" fontId="57" fillId="0" borderId="23" xfId="0" applyFont="1" applyBorder="1"/>
    <xf numFmtId="170" fontId="57" fillId="0" borderId="24" xfId="0" applyFont="1" applyBorder="1"/>
    <xf numFmtId="170" fontId="57" fillId="0" borderId="25" xfId="0" applyFont="1" applyBorder="1"/>
    <xf numFmtId="180" fontId="50" fillId="7" borderId="0" xfId="3" applyNumberFormat="1" applyFont="1" applyFill="1" applyBorder="1" applyAlignment="1">
      <alignment horizontal="center" vertical="center" wrapText="1"/>
    </xf>
    <xf numFmtId="180" fontId="0" fillId="0" borderId="0" xfId="3" applyNumberFormat="1" applyFont="1"/>
    <xf numFmtId="176" fontId="19" fillId="0" borderId="0" xfId="0" applyNumberFormat="1" applyFont="1" applyBorder="1" applyAlignment="1">
      <alignment horizontal="center"/>
    </xf>
    <xf numFmtId="176" fontId="50" fillId="7" borderId="0" xfId="3" applyNumberFormat="1" applyFont="1" applyFill="1" applyBorder="1" applyAlignment="1">
      <alignment horizontal="center" vertical="center" wrapText="1"/>
    </xf>
    <xf numFmtId="176" fontId="19" fillId="0" borderId="0" xfId="3" applyNumberFormat="1" applyFont="1" applyBorder="1" applyAlignment="1"/>
    <xf numFmtId="44" fontId="50" fillId="7" borderId="0" xfId="12" applyFont="1" applyFill="1" applyBorder="1" applyAlignment="1">
      <alignment horizontal="center" vertical="center" wrapText="1"/>
    </xf>
    <xf numFmtId="181" fontId="50" fillId="7" borderId="0" xfId="12" applyNumberFormat="1" applyFont="1" applyFill="1" applyBorder="1" applyAlignment="1">
      <alignment horizontal="center" vertical="center" wrapText="1"/>
    </xf>
    <xf numFmtId="181" fontId="26" fillId="0" borderId="0" xfId="12" applyNumberFormat="1" applyFont="1" applyFill="1" applyBorder="1" applyAlignment="1">
      <alignment vertical="center" wrapText="1"/>
    </xf>
    <xf numFmtId="181" fontId="19" fillId="0" borderId="0" xfId="12" applyNumberFormat="1" applyFont="1" applyBorder="1" applyAlignment="1">
      <alignment horizontal="center"/>
    </xf>
    <xf numFmtId="182" fontId="50" fillId="4" borderId="4" xfId="0" applyNumberFormat="1" applyFont="1" applyFill="1" applyBorder="1" applyAlignment="1">
      <alignment horizontal="center" vertical="center" wrapText="1"/>
    </xf>
    <xf numFmtId="170" fontId="27" fillId="0" borderId="0" xfId="0" applyFont="1" applyAlignment="1">
      <alignment horizontal="left" vertical="center" wrapText="1"/>
    </xf>
    <xf numFmtId="170" fontId="38" fillId="0" borderId="0" xfId="0" applyFont="1" applyAlignment="1">
      <alignment horizontal="left" vertical="center"/>
    </xf>
    <xf numFmtId="170" fontId="27" fillId="0" borderId="0" xfId="0" applyFont="1" applyAlignment="1">
      <alignment horizontal="left" wrapText="1"/>
    </xf>
    <xf numFmtId="170" fontId="41" fillId="0" borderId="0" xfId="0" applyFont="1" applyAlignment="1">
      <alignment horizontal="left" vertical="center"/>
    </xf>
    <xf numFmtId="170" fontId="47" fillId="8" borderId="0" xfId="0" applyFont="1" applyFill="1" applyAlignment="1">
      <alignment horizontal="left" vertical="center" wrapText="1"/>
    </xf>
    <xf numFmtId="170" fontId="47" fillId="0" borderId="0" xfId="0" applyFont="1" applyAlignment="1">
      <alignment horizontal="left" vertical="center" wrapText="1"/>
    </xf>
    <xf numFmtId="170" fontId="47" fillId="0" borderId="0" xfId="0" applyFont="1" applyAlignment="1">
      <alignment horizontal="left" wrapText="1"/>
    </xf>
    <xf numFmtId="170" fontId="61" fillId="10" borderId="0" xfId="0" applyFont="1" applyFill="1" applyBorder="1" applyAlignment="1">
      <alignment horizontal="center" vertical="center" wrapText="1"/>
    </xf>
    <xf numFmtId="170" fontId="55" fillId="11" borderId="0" xfId="0" applyFont="1" applyFill="1" applyBorder="1" applyAlignment="1">
      <alignment horizontal="center" vertical="center" wrapText="1"/>
    </xf>
  </cellXfs>
  <cellStyles count="22">
    <cellStyle name="Comma" xfId="3" builtinId="3"/>
    <cellStyle name="Comma 2" xfId="21" xr:uid="{00000000-0005-0000-0000-000001000000}"/>
    <cellStyle name="Comma0" xfId="2" xr:uid="{00000000-0005-0000-0000-000002000000}"/>
    <cellStyle name="Currency" xfId="12" builtinId="4"/>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Normal" xfId="0" builtinId="0"/>
    <cellStyle name="Percent" xfId="1" builtinId="5"/>
  </cellStyles>
  <dxfs count="29">
    <dxf>
      <font>
        <b val="0"/>
        <i val="0"/>
        <strike val="0"/>
        <condense val="0"/>
        <extend val="0"/>
        <outline val="0"/>
        <shadow val="0"/>
        <u val="none"/>
        <vertAlign val="baseline"/>
        <sz val="8"/>
        <color theme="1"/>
        <name val="Arial"/>
        <scheme val="minor"/>
      </font>
      <numFmt numFmtId="174" formatCode="#,##0_ ;\-#,##0\ "/>
    </dxf>
    <dxf>
      <font>
        <b val="0"/>
        <i val="0"/>
        <strike val="0"/>
        <condense val="0"/>
        <extend val="0"/>
        <outline val="0"/>
        <shadow val="0"/>
        <u val="none"/>
        <vertAlign val="baseline"/>
        <sz val="8"/>
        <color theme="1"/>
        <name val="Arial"/>
        <scheme val="minor"/>
      </font>
      <numFmt numFmtId="174" formatCode="#,##0_ ;\-#,##0\ "/>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dxf>
    <dxf>
      <font>
        <b val="0"/>
        <i val="0"/>
        <strike val="0"/>
        <condense val="0"/>
        <extend val="0"/>
        <outline val="0"/>
        <shadow val="0"/>
        <u val="none"/>
        <vertAlign val="baseline"/>
        <sz val="8"/>
        <color theme="1"/>
        <name val="Arial"/>
        <scheme val="minor"/>
      </font>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numFmt numFmtId="13" formatCode="0%"/>
    </dxf>
    <dxf>
      <font>
        <b val="0"/>
        <i val="0"/>
        <strike val="0"/>
        <condense val="0"/>
        <extend val="0"/>
        <outline val="0"/>
        <shadow val="0"/>
        <u val="none"/>
        <vertAlign val="baseline"/>
        <sz val="8"/>
        <color theme="1"/>
        <name val="Arial"/>
        <scheme val="minor"/>
      </font>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dxf>
    <dxf>
      <font>
        <b val="0"/>
        <i val="0"/>
        <strike val="0"/>
        <condense val="0"/>
        <extend val="0"/>
        <outline val="0"/>
        <shadow val="0"/>
        <u val="none"/>
        <vertAlign val="baseline"/>
        <sz val="8"/>
        <color theme="1"/>
        <name val="Arial"/>
        <scheme val="minor"/>
      </font>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numFmt numFmtId="174" formatCode="#,##0_ ;\-#,##0\ "/>
    </dxf>
    <dxf>
      <font>
        <b val="0"/>
        <i val="0"/>
        <strike val="0"/>
        <condense val="0"/>
        <extend val="0"/>
        <outline val="0"/>
        <shadow val="0"/>
        <u val="none"/>
        <vertAlign val="baseline"/>
        <sz val="8"/>
        <color theme="1"/>
        <name val="Arial"/>
        <scheme val="minor"/>
      </font>
      <numFmt numFmtId="174" formatCode="#,##0_ ;\-#,##0\ "/>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dxf>
    <dxf>
      <font>
        <b val="0"/>
        <i val="0"/>
        <strike val="0"/>
        <condense val="0"/>
        <extend val="0"/>
        <outline val="0"/>
        <shadow val="0"/>
        <u val="none"/>
        <vertAlign val="baseline"/>
        <sz val="8"/>
        <color theme="1"/>
        <name val="Arial"/>
        <scheme val="minor"/>
      </font>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font>
        <b val="0"/>
        <i val="0"/>
        <strike val="0"/>
        <condense val="0"/>
        <extend val="0"/>
        <outline val="0"/>
        <shadow val="0"/>
        <u val="none"/>
        <vertAlign val="baseline"/>
        <sz val="8"/>
        <color theme="1"/>
        <name val="Arial"/>
        <scheme val="minor"/>
      </font>
    </dxf>
    <dxf>
      <font>
        <b val="0"/>
        <i val="0"/>
        <strike val="0"/>
        <condense val="0"/>
        <extend val="0"/>
        <outline val="0"/>
        <shadow val="0"/>
        <u val="none"/>
        <vertAlign val="baseline"/>
        <sz val="8"/>
        <color theme="1"/>
        <name val="Arial"/>
        <scheme val="minor"/>
      </font>
    </dxf>
    <dxf>
      <border outline="0">
        <bottom style="thin">
          <color theme="3" tint="-0.499984740745262"/>
        </bottom>
      </border>
    </dxf>
    <dxf>
      <font>
        <b/>
        <i val="0"/>
        <strike val="0"/>
        <condense val="0"/>
        <extend val="0"/>
        <outline val="0"/>
        <shadow val="0"/>
        <u val="none"/>
        <vertAlign val="baseline"/>
        <sz val="8"/>
        <color theme="3" tint="-0.499984740745262"/>
        <name val="Arial"/>
        <scheme val="minor"/>
      </font>
    </dxf>
    <dxf>
      <border>
        <left/>
        <right/>
        <top/>
        <bottom/>
        <vertical/>
        <horizontal/>
      </border>
    </dxf>
  </dxfs>
  <tableStyles count="1" defaultTableStyle="TableStyleMedium2" defaultPivotStyle="PivotStyleMedium9">
    <tableStyle name="Table Style 1" pivot="0" count="1" xr9:uid="{00000000-0011-0000-FFFF-FFFF00000000}">
      <tableStyleElement type="wholeTable" dxfId="28"/>
    </tableStyle>
  </tableStyles>
  <colors>
    <mruColors>
      <color rgb="FF8B5D55"/>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14</xdr:col>
      <xdr:colOff>262458</xdr:colOff>
      <xdr:row>1</xdr:row>
      <xdr:rowOff>7411</xdr:rowOff>
    </xdr:from>
    <xdr:to>
      <xdr:col>18</xdr:col>
      <xdr:colOff>5764</xdr:colOff>
      <xdr:row>2</xdr:row>
      <xdr:rowOff>82553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791" y="187328"/>
          <a:ext cx="2494973" cy="255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2038350</xdr:colOff>
      <xdr:row>1</xdr:row>
      <xdr:rowOff>0</xdr:rowOff>
    </xdr:from>
    <xdr:to>
      <xdr:col>15</xdr:col>
      <xdr:colOff>1281950</xdr:colOff>
      <xdr:row>2</xdr:row>
      <xdr:rowOff>76528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4183" y="179917"/>
          <a:ext cx="2494800" cy="256444"/>
        </a:xfrm>
        <a:prstGeom prst="rect">
          <a:avLst/>
        </a:prstGeom>
        <a:noFill/>
        <a:ln>
          <a:noFill/>
        </a:ln>
      </xdr:spPr>
    </xdr:pic>
    <xdr:clientData/>
  </xdr:twoCellAnchor>
  <xdr:twoCellAnchor editAs="absolute">
    <xdr:from>
      <xdr:col>2</xdr:col>
      <xdr:colOff>142035</xdr:colOff>
      <xdr:row>1</xdr:row>
      <xdr:rowOff>4233</xdr:rowOff>
    </xdr:from>
    <xdr:to>
      <xdr:col>4</xdr:col>
      <xdr:colOff>1793250</xdr:colOff>
      <xdr:row>3</xdr:row>
      <xdr:rowOff>14816</xdr:rowOff>
    </xdr:to>
    <xdr:grpSp>
      <xdr:nvGrpSpPr>
        <xdr:cNvPr id="10" name="Group 9">
          <a:hlinkClick xmlns:r="http://schemas.openxmlformats.org/officeDocument/2006/relationships" r:id="rId2"/>
          <a:extLst>
            <a:ext uri="{FF2B5EF4-FFF2-40B4-BE49-F238E27FC236}">
              <a16:creationId xmlns:a16="http://schemas.microsoft.com/office/drawing/2014/main" id="{00000000-0008-0000-0100-00000A000000}"/>
            </a:ext>
          </a:extLst>
        </xdr:cNvPr>
        <xdr:cNvGrpSpPr/>
      </xdr:nvGrpSpPr>
      <xdr:grpSpPr>
        <a:xfrm>
          <a:off x="704010" y="185208"/>
          <a:ext cx="2079840" cy="372533"/>
          <a:chOff x="766234" y="162984"/>
          <a:chExt cx="2084916" cy="370416"/>
        </a:xfrm>
      </xdr:grpSpPr>
      <xdr:sp macro="" textlink="">
        <xdr:nvSpPr>
          <xdr:cNvPr id="11" name="Rectangle 10">
            <a:extLst>
              <a:ext uri="{FF2B5EF4-FFF2-40B4-BE49-F238E27FC236}">
                <a16:creationId xmlns:a16="http://schemas.microsoft.com/office/drawing/2014/main" id="{00000000-0008-0000-0100-00000B000000}"/>
              </a:ext>
            </a:extLst>
          </xdr:cNvPr>
          <xdr:cNvSpPr/>
        </xdr:nvSpPr>
        <xdr:spPr>
          <a:xfrm>
            <a:off x="766234" y="162984"/>
            <a:ext cx="2084916" cy="370416"/>
          </a:xfrm>
          <a:prstGeom prst="rect">
            <a:avLst/>
          </a:prstGeom>
          <a:noFill/>
          <a:ln w="12700">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GB" sz="1200" b="1">
                <a:solidFill>
                  <a:schemeClr val="tx1">
                    <a:lumMod val="50000"/>
                    <a:lumOff val="50000"/>
                  </a:schemeClr>
                </a:solidFill>
              </a:rPr>
              <a:t>Back to HOME tab</a:t>
            </a:r>
          </a:p>
        </xdr:txBody>
      </xdr:sp>
      <xdr:cxnSp macro="">
        <xdr:nvCxnSpPr>
          <xdr:cNvPr id="12" name="Straight Arrow Connector 11">
            <a:extLst>
              <a:ext uri="{FF2B5EF4-FFF2-40B4-BE49-F238E27FC236}">
                <a16:creationId xmlns:a16="http://schemas.microsoft.com/office/drawing/2014/main" id="{00000000-0008-0000-0100-00000C000000}"/>
              </a:ext>
            </a:extLst>
          </xdr:cNvPr>
          <xdr:cNvCxnSpPr/>
        </xdr:nvCxnSpPr>
        <xdr:spPr>
          <a:xfrm flipH="1">
            <a:off x="861484" y="342901"/>
            <a:ext cx="433917" cy="0"/>
          </a:xfrm>
          <a:prstGeom prst="straightConnector1">
            <a:avLst/>
          </a:prstGeom>
          <a:ln w="28575">
            <a:solidFill>
              <a:schemeClr val="tx1">
                <a:lumMod val="50000"/>
                <a:lumOff val="50000"/>
              </a:schemeClr>
            </a:solidFill>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377038</xdr:colOff>
      <xdr:row>1</xdr:row>
      <xdr:rowOff>17200</xdr:rowOff>
    </xdr:from>
    <xdr:to>
      <xdr:col>4</xdr:col>
      <xdr:colOff>2869127</xdr:colOff>
      <xdr:row>2</xdr:row>
      <xdr:rowOff>120708</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2788" y="197117"/>
          <a:ext cx="2494800" cy="283424"/>
        </a:xfrm>
        <a:prstGeom prst="rect">
          <a:avLst/>
        </a:prstGeom>
        <a:noFill/>
        <a:ln>
          <a:noFill/>
        </a:ln>
      </xdr:spPr>
    </xdr:pic>
    <xdr:clientData/>
  </xdr:twoCellAnchor>
  <xdr:twoCellAnchor editAs="absolute">
    <xdr:from>
      <xdr:col>1</xdr:col>
      <xdr:colOff>23803</xdr:colOff>
      <xdr:row>1</xdr:row>
      <xdr:rowOff>6616</xdr:rowOff>
    </xdr:from>
    <xdr:to>
      <xdr:col>1</xdr:col>
      <xdr:colOff>2108719</xdr:colOff>
      <xdr:row>3</xdr:row>
      <xdr:rowOff>19845</xdr:rowOff>
    </xdr:to>
    <xdr:grpSp>
      <xdr:nvGrpSpPr>
        <xdr:cNvPr id="3" name="Group 2">
          <a:hlinkClick xmlns:r="http://schemas.openxmlformats.org/officeDocument/2006/relationships" r:id="rId2"/>
          <a:extLst>
            <a:ext uri="{FF2B5EF4-FFF2-40B4-BE49-F238E27FC236}">
              <a16:creationId xmlns:a16="http://schemas.microsoft.com/office/drawing/2014/main" id="{00000000-0008-0000-0300-000003000000}"/>
            </a:ext>
          </a:extLst>
        </xdr:cNvPr>
        <xdr:cNvGrpSpPr/>
      </xdr:nvGrpSpPr>
      <xdr:grpSpPr>
        <a:xfrm>
          <a:off x="708658" y="187670"/>
          <a:ext cx="2084916" cy="375336"/>
          <a:chOff x="766234" y="162984"/>
          <a:chExt cx="2084916" cy="370416"/>
        </a:xfrm>
      </xdr:grpSpPr>
      <xdr:sp macro="" textlink="">
        <xdr:nvSpPr>
          <xdr:cNvPr id="4" name="Rectangle 3">
            <a:extLst>
              <a:ext uri="{FF2B5EF4-FFF2-40B4-BE49-F238E27FC236}">
                <a16:creationId xmlns:a16="http://schemas.microsoft.com/office/drawing/2014/main" id="{00000000-0008-0000-0300-000004000000}"/>
              </a:ext>
            </a:extLst>
          </xdr:cNvPr>
          <xdr:cNvSpPr/>
        </xdr:nvSpPr>
        <xdr:spPr>
          <a:xfrm>
            <a:off x="766234" y="162984"/>
            <a:ext cx="2084916" cy="370416"/>
          </a:xfrm>
          <a:prstGeom prst="rect">
            <a:avLst/>
          </a:prstGeom>
          <a:noFill/>
          <a:ln w="12700">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GB" sz="1200" b="1">
                <a:solidFill>
                  <a:schemeClr val="tx1">
                    <a:lumMod val="50000"/>
                    <a:lumOff val="50000"/>
                  </a:schemeClr>
                </a:solidFill>
              </a:rPr>
              <a:t>Back to HOME tab</a:t>
            </a:r>
          </a:p>
        </xdr:txBody>
      </xdr:sp>
      <xdr:cxnSp macro="">
        <xdr:nvCxnSpPr>
          <xdr:cNvPr id="5" name="Straight Arrow Connector 4">
            <a:extLst>
              <a:ext uri="{FF2B5EF4-FFF2-40B4-BE49-F238E27FC236}">
                <a16:creationId xmlns:a16="http://schemas.microsoft.com/office/drawing/2014/main" id="{00000000-0008-0000-0300-000005000000}"/>
              </a:ext>
            </a:extLst>
          </xdr:cNvPr>
          <xdr:cNvCxnSpPr/>
        </xdr:nvCxnSpPr>
        <xdr:spPr>
          <a:xfrm flipH="1">
            <a:off x="861484" y="342901"/>
            <a:ext cx="433917" cy="0"/>
          </a:xfrm>
          <a:prstGeom prst="straightConnector1">
            <a:avLst/>
          </a:prstGeom>
          <a:ln w="28575">
            <a:solidFill>
              <a:schemeClr val="tx1">
                <a:lumMod val="50000"/>
                <a:lumOff val="50000"/>
              </a:schemeClr>
            </a:solidFill>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63491</xdr:colOff>
      <xdr:row>1</xdr:row>
      <xdr:rowOff>10584</xdr:rowOff>
    </xdr:from>
    <xdr:to>
      <xdr:col>10</xdr:col>
      <xdr:colOff>769708</xdr:colOff>
      <xdr:row>2</xdr:row>
      <xdr:rowOff>116187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69324" y="190501"/>
          <a:ext cx="2494800" cy="285519"/>
        </a:xfrm>
        <a:prstGeom prst="rect">
          <a:avLst/>
        </a:prstGeom>
        <a:noFill/>
        <a:ln>
          <a:noFill/>
        </a:ln>
      </xdr:spPr>
    </xdr:pic>
    <xdr:clientData/>
  </xdr:twoCellAnchor>
  <xdr:twoCellAnchor editAs="oneCell">
    <xdr:from>
      <xdr:col>1</xdr:col>
      <xdr:colOff>21157</xdr:colOff>
      <xdr:row>1</xdr:row>
      <xdr:rowOff>10583</xdr:rowOff>
    </xdr:from>
    <xdr:to>
      <xdr:col>2</xdr:col>
      <xdr:colOff>412740</xdr:colOff>
      <xdr:row>3</xdr:row>
      <xdr:rowOff>21166</xdr:rowOff>
    </xdr:to>
    <xdr:grpSp>
      <xdr:nvGrpSpPr>
        <xdr:cNvPr id="3" name="Group 2">
          <a:hlinkClick xmlns:r="http://schemas.openxmlformats.org/officeDocument/2006/relationships" r:id="rId2"/>
          <a:extLst>
            <a:ext uri="{FF2B5EF4-FFF2-40B4-BE49-F238E27FC236}">
              <a16:creationId xmlns:a16="http://schemas.microsoft.com/office/drawing/2014/main" id="{00000000-0008-0000-0400-000003000000}"/>
            </a:ext>
          </a:extLst>
        </xdr:cNvPr>
        <xdr:cNvGrpSpPr/>
      </xdr:nvGrpSpPr>
      <xdr:grpSpPr>
        <a:xfrm>
          <a:off x="703782" y="193146"/>
          <a:ext cx="2074333" cy="375708"/>
          <a:chOff x="766234" y="162984"/>
          <a:chExt cx="2084916" cy="370416"/>
        </a:xfrm>
      </xdr:grpSpPr>
      <xdr:sp macro="" textlink="">
        <xdr:nvSpPr>
          <xdr:cNvPr id="4" name="Rectangle 3">
            <a:extLst>
              <a:ext uri="{FF2B5EF4-FFF2-40B4-BE49-F238E27FC236}">
                <a16:creationId xmlns:a16="http://schemas.microsoft.com/office/drawing/2014/main" id="{00000000-0008-0000-0400-000004000000}"/>
              </a:ext>
            </a:extLst>
          </xdr:cNvPr>
          <xdr:cNvSpPr/>
        </xdr:nvSpPr>
        <xdr:spPr>
          <a:xfrm>
            <a:off x="766234" y="162984"/>
            <a:ext cx="2084916" cy="370416"/>
          </a:xfrm>
          <a:prstGeom prst="rect">
            <a:avLst/>
          </a:prstGeom>
          <a:noFill/>
          <a:ln w="12700">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GB" sz="1200" b="1">
                <a:solidFill>
                  <a:schemeClr val="tx1">
                    <a:lumMod val="50000"/>
                    <a:lumOff val="50000"/>
                  </a:schemeClr>
                </a:solidFill>
              </a:rPr>
              <a:t>Back to HOME tab</a:t>
            </a:r>
          </a:p>
        </xdr:txBody>
      </xdr:sp>
      <xdr:cxnSp macro="">
        <xdr:nvCxnSpPr>
          <xdr:cNvPr id="5" name="Straight Arrow Connector 4">
            <a:extLst>
              <a:ext uri="{FF2B5EF4-FFF2-40B4-BE49-F238E27FC236}">
                <a16:creationId xmlns:a16="http://schemas.microsoft.com/office/drawing/2014/main" id="{00000000-0008-0000-0400-000005000000}"/>
              </a:ext>
            </a:extLst>
          </xdr:cNvPr>
          <xdr:cNvCxnSpPr/>
        </xdr:nvCxnSpPr>
        <xdr:spPr>
          <a:xfrm flipH="1">
            <a:off x="861484" y="342901"/>
            <a:ext cx="433917" cy="0"/>
          </a:xfrm>
          <a:prstGeom prst="straightConnector1">
            <a:avLst/>
          </a:prstGeom>
          <a:ln w="28575">
            <a:solidFill>
              <a:schemeClr val="tx1">
                <a:lumMod val="50000"/>
                <a:lumOff val="50000"/>
              </a:schemeClr>
            </a:solidFill>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BON%20LIMITS%20(common)/b%20-%20Project%20Archive/3%20-%20Ongoing/397%20-%20controllers%20in%20USA/7%20-%20Final%20deliverables/Third%20Version%20-%204%20July/160629%20-%20Model%20-for%20next%20report%20relea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FACILITY_TYPE"/>
      <sheetName val="CALCULATION"/>
      <sheetName val="GRAPH_CONT"/>
      <sheetName val="CASES_LIST"/>
      <sheetName val="RESULTS_GRAPH"/>
      <sheetName val="Sens_overview"/>
      <sheetName val="Graph_sens_Air_N"/>
      <sheetName val="Graph_sens_Air_R"/>
      <sheetName val="Graph_sens_Elec_N"/>
      <sheetName val="Graph_sens_Elec_R"/>
      <sheetName val="ASSUMPTION"/>
      <sheetName val="RESULTS_SENSITIVITY"/>
      <sheetName val="CASE_LIST_FOR_SENSITIVITY"/>
      <sheetName val="NEW_FIG_10"/>
      <sheetName val="EF_DISCUSSION"/>
      <sheetName val="COSTS_DB"/>
      <sheetName val="SOURCE_LIST"/>
      <sheetName val="ANALYSIS"/>
      <sheetName val="PRASINO"/>
    </sheetNames>
    <sheetDataSet>
      <sheetData sheetId="0"/>
      <sheetData sheetId="1"/>
      <sheetData sheetId="2"/>
      <sheetData sheetId="3"/>
      <sheetData sheetId="4"/>
      <sheetData sheetId="5"/>
      <sheetData sheetId="6"/>
      <sheetData sheetId="7"/>
      <sheetData sheetId="8"/>
      <sheetData sheetId="9"/>
      <sheetData sheetId="10"/>
      <sheetData sheetId="11">
        <row r="9">
          <cell r="G9">
            <v>7.0000000000000007E-2</v>
          </cell>
        </row>
      </sheetData>
      <sheetData sheetId="12"/>
      <sheetData sheetId="13"/>
      <sheetData sheetId="14"/>
      <sheetData sheetId="15"/>
      <sheetData sheetId="16"/>
      <sheetData sheetId="17"/>
      <sheetData sheetId="18"/>
      <sheetData sheetId="1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trofit_new_T" displayName="retrofit_new_T" ref="B3:B5" totalsRowShown="0" headerRowDxfId="27" dataDxfId="25" headerRowBorderDxfId="26">
  <autoFilter ref="B3:B5" xr:uid="{00000000-0009-0000-0100-000002000000}"/>
  <tableColumns count="1">
    <tableColumn id="1" xr3:uid="{00000000-0010-0000-0000-000001000000}" name="NEW/RETROFIT" dataDxfId="2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Elec_on_site_T" displayName="Elec_on_site_T" ref="E3:E5" totalsRowShown="0" headerRowDxfId="23" dataDxfId="21" headerRowBorderDxfId="22">
  <autoFilter ref="E3:E5" xr:uid="{00000000-0009-0000-0100-000003000000}"/>
  <tableColumns count="1">
    <tableColumn id="1" xr3:uid="{00000000-0010-0000-0100-000001000000}" name="ELECTRICITY ONSITE" dataDxfId="2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Pump_Number_T" displayName="Pump_Number_T" ref="H3:H6" totalsRowShown="0" headerRowDxfId="19" dataDxfId="17" headerRowBorderDxfId="18">
  <autoFilter ref="H3:H6" xr:uid="{00000000-0009-0000-0100-000004000000}"/>
  <tableColumns count="1">
    <tableColumn id="1" xr3:uid="{00000000-0010-0000-0200-000001000000}" name="# PUMPS" dataDxfId="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Supply_gas_T" displayName="Supply_gas_T" ref="J3:J5" totalsRowShown="0" headerRowDxfId="15" dataDxfId="13" headerRowBorderDxfId="14">
  <autoFilter ref="J3:J5" xr:uid="{00000000-0009-0000-0100-000005000000}"/>
  <tableColumns count="1">
    <tableColumn id="1" xr3:uid="{00000000-0010-0000-0300-000001000000}" name="TYPE OF SUPPLY GAS" dataDxfId="1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B8:B16" totalsRowShown="0" headerRowDxfId="11" dataDxfId="9" headerRowBorderDxfId="10">
  <autoFilter ref="B8:B16" xr:uid="{00000000-0009-0000-0100-000006000000}"/>
  <tableColumns count="1">
    <tableColumn id="1" xr3:uid="{00000000-0010-0000-0400-000001000000}" name="INTEREST RATE" dataDxfId="8"/>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E8:E13" totalsRowShown="0" headerRowDxfId="7" dataDxfId="5" headerRowBorderDxfId="6">
  <autoFilter ref="E8:E13" xr:uid="{00000000-0009-0000-0100-000007000000}"/>
  <tableColumns count="1">
    <tableColumn id="1" xr3:uid="{00000000-0010-0000-0500-000001000000}" name="GAS PRICE" dataDxfId="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H8:H12" totalsRowShown="0" headerRowDxfId="3" dataDxfId="1" headerRowBorderDxfId="2">
  <autoFilter ref="H8:H12" xr:uid="{00000000-0009-0000-0100-000008000000}"/>
  <tableColumns count="1">
    <tableColumn id="1" xr3:uid="{00000000-0010-0000-0600-000001000000}" name="RETROFIT LIFETIME" dataDxfId="0"/>
  </tableColumns>
  <tableStyleInfo name="Table Style 1" showFirstColumn="0" showLastColumn="0" showRowStripes="1" showColumnStripes="0"/>
</table>
</file>

<file path=xl/theme/theme1.xml><?xml version="1.0" encoding="utf-8"?>
<a:theme xmlns:a="http://schemas.openxmlformats.org/drawingml/2006/main" name="CLtheme2">
  <a:themeElements>
    <a:clrScheme name="Carbon Limits">
      <a:dk1>
        <a:sysClr val="windowText" lastClr="000000"/>
      </a:dk1>
      <a:lt1>
        <a:sysClr val="window" lastClr="FFFFFF"/>
      </a:lt1>
      <a:dk2>
        <a:srgbClr val="2BB673"/>
      </a:dk2>
      <a:lt2>
        <a:srgbClr val="EEECE1"/>
      </a:lt2>
      <a:accent1>
        <a:srgbClr val="2BB673"/>
      </a:accent1>
      <a:accent2>
        <a:srgbClr val="414042"/>
      </a:accent2>
      <a:accent3>
        <a:srgbClr val="005D5D"/>
      </a:accent3>
      <a:accent4>
        <a:srgbClr val="E2A380"/>
      </a:accent4>
      <a:accent5>
        <a:srgbClr val="92D6E3"/>
      </a:accent5>
      <a:accent6>
        <a:srgbClr val="155B39"/>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12700">
          <a:solidFill>
            <a:srgbClr val="2BB673"/>
          </a:solidFill>
        </a:ln>
        <a:effectLst/>
      </a:spPr>
      <a:bodyPr wrap="square" lIns="162000" tIns="162000" rIns="162000" bIns="162000" rtlCol="0"/>
      <a:lstStyle/>
      <a:style>
        <a:lnRef idx="0">
          <a:schemeClr val="accent1"/>
        </a:lnRef>
        <a:fillRef idx="0">
          <a:schemeClr val="accent1"/>
        </a:fillRef>
        <a:effectRef idx="0">
          <a:schemeClr val="accent1"/>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5:R25"/>
  <sheetViews>
    <sheetView showGridLines="0" topLeftCell="A2" zoomScale="90" zoomScaleNormal="90" zoomScalePageLayoutView="90" workbookViewId="0">
      <selection activeCell="D21" sqref="D21:R21"/>
    </sheetView>
  </sheetViews>
  <sheetFormatPr defaultColWidth="8.875" defaultRowHeight="14.25"/>
  <cols>
    <col min="2" max="2" width="16.625" customWidth="1"/>
    <col min="3" max="3" width="5.5" customWidth="1"/>
  </cols>
  <sheetData>
    <row r="5" spans="2:18" ht="27.75">
      <c r="B5" s="215" t="s">
        <v>240</v>
      </c>
      <c r="C5" s="215"/>
      <c r="D5" s="215"/>
      <c r="E5" s="215"/>
      <c r="F5" s="215"/>
      <c r="G5" s="215"/>
      <c r="H5" s="215"/>
      <c r="I5" s="215"/>
      <c r="J5" s="215"/>
      <c r="K5" s="215"/>
      <c r="L5" s="215"/>
      <c r="M5" s="215"/>
      <c r="N5" s="215"/>
      <c r="O5" s="215"/>
      <c r="P5" s="215"/>
      <c r="Q5" s="215"/>
      <c r="R5" s="215"/>
    </row>
    <row r="6" spans="2:18" ht="20.25">
      <c r="B6" s="217" t="s">
        <v>241</v>
      </c>
      <c r="C6" s="217"/>
      <c r="D6" s="217"/>
      <c r="E6" s="217"/>
      <c r="F6" s="217"/>
      <c r="G6" s="217"/>
      <c r="H6" s="217"/>
      <c r="I6" s="217"/>
      <c r="J6" s="217"/>
      <c r="K6" s="217"/>
      <c r="L6" s="217"/>
      <c r="M6" s="217"/>
      <c r="N6" s="217"/>
      <c r="O6" s="217"/>
      <c r="P6" s="217"/>
      <c r="Q6" s="217"/>
      <c r="R6" s="217"/>
    </row>
    <row r="9" spans="2:18">
      <c r="B9" s="214"/>
      <c r="C9" s="214"/>
      <c r="D9" s="214"/>
      <c r="E9" s="214"/>
      <c r="F9" s="214"/>
      <c r="G9" s="214"/>
      <c r="H9" s="214"/>
      <c r="I9" s="214"/>
      <c r="J9" s="214"/>
      <c r="K9" s="214"/>
      <c r="L9" s="214"/>
      <c r="M9" s="214"/>
      <c r="N9" s="214"/>
      <c r="O9" s="214"/>
      <c r="P9" s="214"/>
      <c r="Q9" s="214"/>
      <c r="R9" s="214"/>
    </row>
    <row r="10" spans="2:18">
      <c r="B10" s="109"/>
      <c r="C10" s="109"/>
      <c r="D10" s="109"/>
      <c r="E10" s="109"/>
      <c r="F10" s="109"/>
      <c r="G10" s="109"/>
      <c r="H10" s="109"/>
      <c r="I10" s="109"/>
      <c r="J10" s="109"/>
      <c r="K10" s="109"/>
      <c r="L10" s="109"/>
      <c r="M10" s="109"/>
      <c r="N10" s="109"/>
      <c r="O10" s="109"/>
      <c r="P10" s="109"/>
      <c r="Q10" s="109"/>
      <c r="R10" s="109"/>
    </row>
    <row r="11" spans="2:18" ht="23.25">
      <c r="B11" s="115" t="s">
        <v>237</v>
      </c>
      <c r="C11" s="108"/>
      <c r="D11" s="108"/>
      <c r="E11" s="108"/>
      <c r="F11" s="108"/>
      <c r="G11" s="108"/>
      <c r="H11" s="108"/>
      <c r="I11" s="108"/>
      <c r="J11" s="108"/>
      <c r="K11" s="108"/>
      <c r="L11" s="108"/>
      <c r="M11" s="108"/>
      <c r="N11" s="108"/>
      <c r="O11" s="108"/>
      <c r="P11" s="108"/>
      <c r="Q11" s="108"/>
      <c r="R11" s="108"/>
    </row>
    <row r="12" spans="2:18" ht="69.95" customHeight="1">
      <c r="B12" s="214" t="s">
        <v>255</v>
      </c>
      <c r="C12" s="214"/>
      <c r="D12" s="214"/>
      <c r="E12" s="214"/>
      <c r="F12" s="214"/>
      <c r="G12" s="214"/>
      <c r="H12" s="214"/>
      <c r="I12" s="214"/>
      <c r="J12" s="214"/>
      <c r="K12" s="214"/>
      <c r="L12" s="214"/>
      <c r="M12" s="214"/>
      <c r="N12" s="214"/>
      <c r="O12" s="214"/>
      <c r="P12" s="214"/>
      <c r="Q12" s="214"/>
      <c r="R12" s="214"/>
    </row>
    <row r="13" spans="2:18">
      <c r="B13" s="109"/>
      <c r="C13" s="109"/>
      <c r="D13" s="109"/>
      <c r="E13" s="109"/>
      <c r="F13" s="109"/>
      <c r="G13" s="109"/>
      <c r="H13" s="109"/>
      <c r="I13" s="109"/>
      <c r="J13" s="109"/>
      <c r="K13" s="109"/>
      <c r="L13" s="109"/>
      <c r="M13" s="109"/>
      <c r="N13" s="109"/>
      <c r="O13" s="109"/>
      <c r="P13" s="109"/>
      <c r="Q13" s="109"/>
      <c r="R13" s="109"/>
    </row>
    <row r="14" spans="2:18" ht="23.25">
      <c r="B14" s="115" t="s">
        <v>239</v>
      </c>
      <c r="C14" s="108"/>
      <c r="D14" s="108"/>
      <c r="E14" s="108"/>
      <c r="F14" s="108"/>
      <c r="G14" s="108"/>
      <c r="H14" s="108"/>
      <c r="I14" s="108"/>
      <c r="J14" s="108"/>
      <c r="K14" s="108"/>
      <c r="L14" s="108"/>
      <c r="M14" s="108"/>
      <c r="N14" s="108"/>
      <c r="O14" s="108"/>
      <c r="P14" s="108"/>
      <c r="Q14" s="108"/>
      <c r="R14" s="108"/>
    </row>
    <row r="15" spans="2:18" ht="26.25" customHeight="1">
      <c r="B15" s="216" t="s">
        <v>256</v>
      </c>
      <c r="C15" s="216"/>
      <c r="D15" s="216"/>
      <c r="E15" s="216"/>
      <c r="F15" s="216"/>
      <c r="G15" s="216"/>
      <c r="H15" s="216"/>
      <c r="I15" s="216"/>
      <c r="J15" s="216"/>
      <c r="K15" s="216"/>
      <c r="L15" s="216"/>
      <c r="M15" s="216"/>
      <c r="N15" s="216"/>
      <c r="O15" s="216"/>
      <c r="P15" s="216"/>
      <c r="Q15" s="216"/>
      <c r="R15" s="216"/>
    </row>
    <row r="17" spans="1:18" s="42" customFormat="1" ht="47.1" customHeight="1">
      <c r="B17" s="122" t="s">
        <v>235</v>
      </c>
      <c r="D17" s="218" t="s">
        <v>319</v>
      </c>
      <c r="E17" s="218"/>
      <c r="F17" s="218"/>
      <c r="G17" s="218"/>
      <c r="H17" s="218"/>
      <c r="I17" s="218"/>
      <c r="J17" s="218"/>
      <c r="K17" s="218"/>
      <c r="L17" s="218"/>
      <c r="M17" s="218"/>
      <c r="N17" s="218"/>
      <c r="O17" s="218"/>
      <c r="P17" s="218"/>
      <c r="Q17" s="218"/>
      <c r="R17" s="218"/>
    </row>
    <row r="18" spans="1:18">
      <c r="A18" s="42"/>
      <c r="B18" s="111"/>
    </row>
    <row r="19" spans="1:18" s="42" customFormat="1" ht="27" customHeight="1">
      <c r="A19"/>
      <c r="B19" s="122" t="s">
        <v>236</v>
      </c>
      <c r="D19" s="219" t="s">
        <v>288</v>
      </c>
      <c r="E19" s="219"/>
      <c r="F19" s="219"/>
      <c r="G19" s="219"/>
      <c r="H19" s="219"/>
      <c r="I19" s="219"/>
      <c r="J19" s="219"/>
      <c r="K19" s="219"/>
      <c r="L19" s="219"/>
      <c r="M19" s="219"/>
      <c r="N19" s="219"/>
      <c r="O19" s="219"/>
      <c r="P19" s="219"/>
      <c r="Q19" s="219"/>
      <c r="R19" s="219"/>
    </row>
    <row r="20" spans="1:18">
      <c r="A20" s="42"/>
      <c r="B20" s="111"/>
    </row>
    <row r="21" spans="1:18" s="42" customFormat="1" ht="27" customHeight="1">
      <c r="A21"/>
      <c r="B21" s="122" t="s">
        <v>93</v>
      </c>
      <c r="D21" s="219" t="s">
        <v>252</v>
      </c>
      <c r="E21" s="219"/>
      <c r="F21" s="219"/>
      <c r="G21" s="219"/>
      <c r="H21" s="219"/>
      <c r="I21" s="219"/>
      <c r="J21" s="219"/>
      <c r="K21" s="219"/>
      <c r="L21" s="219"/>
      <c r="M21" s="219"/>
      <c r="N21" s="219"/>
      <c r="O21" s="219"/>
      <c r="P21" s="219"/>
      <c r="Q21" s="219"/>
      <c r="R21" s="219"/>
    </row>
    <row r="22" spans="1:18">
      <c r="A22" s="42"/>
      <c r="B22" s="109"/>
      <c r="C22" s="109"/>
      <c r="D22" s="109"/>
      <c r="E22" s="109"/>
      <c r="F22" s="109"/>
      <c r="G22" s="109"/>
      <c r="H22" s="109"/>
      <c r="I22" s="109"/>
      <c r="J22" s="109"/>
      <c r="K22" s="109"/>
      <c r="L22" s="109"/>
      <c r="M22" s="109"/>
      <c r="N22" s="109"/>
      <c r="O22" s="109"/>
      <c r="P22" s="109"/>
      <c r="Q22" s="109"/>
      <c r="R22" s="109"/>
    </row>
    <row r="23" spans="1:18" ht="23.25">
      <c r="B23" s="115" t="s">
        <v>242</v>
      </c>
      <c r="C23" s="108"/>
      <c r="D23" s="108"/>
      <c r="E23" s="108"/>
      <c r="F23" s="108"/>
      <c r="G23" s="108"/>
      <c r="H23" s="108"/>
      <c r="I23" s="108"/>
      <c r="J23" s="108"/>
      <c r="K23" s="108"/>
      <c r="L23" s="108"/>
      <c r="M23" s="108"/>
      <c r="N23" s="108"/>
      <c r="O23" s="108"/>
      <c r="P23" s="108"/>
      <c r="Q23" s="108"/>
      <c r="R23" s="108"/>
    </row>
    <row r="24" spans="1:18" ht="48.75" customHeight="1">
      <c r="B24" s="214" t="s">
        <v>289</v>
      </c>
      <c r="C24" s="214"/>
      <c r="D24" s="214"/>
      <c r="E24" s="214"/>
      <c r="F24" s="214"/>
      <c r="G24" s="214"/>
      <c r="H24" s="214"/>
      <c r="I24" s="214"/>
      <c r="J24" s="214"/>
      <c r="K24" s="214"/>
      <c r="L24" s="214"/>
      <c r="M24" s="214"/>
      <c r="N24" s="214"/>
      <c r="O24" s="214"/>
      <c r="P24" s="214"/>
      <c r="Q24" s="214"/>
      <c r="R24" s="214"/>
    </row>
    <row r="25" spans="1:18">
      <c r="C25" s="110"/>
    </row>
  </sheetData>
  <mergeCells count="9">
    <mergeCell ref="B24:R24"/>
    <mergeCell ref="B5:R5"/>
    <mergeCell ref="B9:R9"/>
    <mergeCell ref="B15:R15"/>
    <mergeCell ref="B6:R6"/>
    <mergeCell ref="B12:R12"/>
    <mergeCell ref="D17:R17"/>
    <mergeCell ref="D19:R19"/>
    <mergeCell ref="D21:R21"/>
  </mergeCells>
  <hyperlinks>
    <hyperlink ref="B17" location="DASHBOARD!A1" display="DASHBOARD" xr:uid="{00000000-0004-0000-0000-000000000000}"/>
    <hyperlink ref="B19" location="ASSUMPTIONS!A1" display="ASSUMPTIONS" xr:uid="{00000000-0004-0000-0000-000001000000}"/>
    <hyperlink ref="B21" location="CALCULATION!A1" display="CALCULATION" xr:uid="{00000000-0004-0000-0000-000002000000}"/>
  </hyperlinks>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5:U104"/>
  <sheetViews>
    <sheetView showGridLines="0" tabSelected="1" topLeftCell="N1" zoomScaleNormal="80" workbookViewId="0">
      <selection activeCell="Z26" sqref="Z26"/>
    </sheetView>
  </sheetViews>
  <sheetFormatPr defaultColWidth="8.875" defaultRowHeight="14.25"/>
  <cols>
    <col min="1" max="1" width="5.875" customWidth="1"/>
    <col min="2" max="2" width="1.5" customWidth="1"/>
    <col min="3" max="3" width="4.5" customWidth="1"/>
    <col min="4" max="4" width="1.125" customWidth="1"/>
    <col min="5" max="5" width="52.5" bestFit="1" customWidth="1"/>
    <col min="6" max="6" width="35.5" customWidth="1"/>
    <col min="7" max="7" width="7.5" customWidth="1"/>
    <col min="8" max="8" width="1.375" customWidth="1"/>
    <col min="9" max="9" width="1.125" customWidth="1"/>
    <col min="10" max="10" width="1.5" customWidth="1"/>
    <col min="11" max="11" width="4.5" customWidth="1"/>
    <col min="12" max="12" width="1.125" customWidth="1"/>
    <col min="13" max="13" width="40.375" customWidth="1"/>
    <col min="14" max="15" width="1.125" customWidth="1"/>
    <col min="16" max="16" width="21.875" customWidth="1"/>
    <col min="17" max="17" width="35.875" customWidth="1"/>
    <col min="18" max="18" width="1.5" customWidth="1"/>
    <col min="19" max="19" width="9.625" customWidth="1"/>
  </cols>
  <sheetData>
    <row r="5" spans="2:19" ht="23.25">
      <c r="B5" s="108" t="s">
        <v>238</v>
      </c>
      <c r="C5" s="108"/>
      <c r="D5" s="108"/>
      <c r="E5" s="108"/>
      <c r="F5" s="108"/>
      <c r="G5" s="108"/>
      <c r="H5" s="108"/>
      <c r="I5" s="108"/>
      <c r="J5" s="108"/>
      <c r="K5" s="108"/>
      <c r="L5" s="108"/>
      <c r="M5" s="108"/>
      <c r="N5" s="108"/>
      <c r="O5" s="108"/>
      <c r="P5" s="108"/>
      <c r="Q5" s="108"/>
      <c r="R5" s="108"/>
      <c r="S5" s="108"/>
    </row>
    <row r="6" spans="2:19" ht="4.5" customHeight="1"/>
    <row r="7" spans="2:19" ht="34.5" customHeight="1">
      <c r="B7" s="220" t="s">
        <v>290</v>
      </c>
      <c r="C7" s="220"/>
      <c r="D7" s="220"/>
      <c r="E7" s="220"/>
      <c r="F7" s="220"/>
      <c r="G7" s="220"/>
      <c r="H7" s="220"/>
      <c r="I7" s="220"/>
      <c r="J7" s="220"/>
      <c r="K7" s="220"/>
      <c r="L7" s="220"/>
      <c r="M7" s="220"/>
      <c r="N7" s="220"/>
      <c r="O7" s="220"/>
      <c r="P7" s="220"/>
      <c r="Q7" s="220"/>
    </row>
    <row r="9" spans="2:19" ht="20.25">
      <c r="B9" s="124" t="s">
        <v>194</v>
      </c>
      <c r="C9" s="125"/>
      <c r="D9" s="121"/>
      <c r="E9" s="120"/>
      <c r="F9" s="120"/>
      <c r="G9" s="120"/>
      <c r="H9" s="120"/>
      <c r="I9" s="120"/>
      <c r="J9" s="120"/>
      <c r="K9" s="120"/>
      <c r="L9" s="120"/>
      <c r="M9" s="120"/>
      <c r="N9" s="120"/>
      <c r="O9" s="120"/>
      <c r="P9" s="121"/>
      <c r="Q9" s="121"/>
    </row>
    <row r="10" spans="2:19" ht="10.5" customHeight="1">
      <c r="C10" s="37"/>
      <c r="D10" s="37"/>
      <c r="E10" s="37"/>
      <c r="F10" s="38"/>
      <c r="G10" s="38"/>
      <c r="H10" s="38"/>
      <c r="I10" s="38"/>
      <c r="J10" s="38"/>
      <c r="K10" s="38"/>
    </row>
    <row r="11" spans="2:19" ht="8.25" customHeight="1">
      <c r="B11" s="51"/>
      <c r="C11" s="52"/>
      <c r="D11" s="52"/>
      <c r="E11" s="52"/>
      <c r="F11" s="52"/>
      <c r="G11" s="53"/>
      <c r="H11" s="37"/>
      <c r="I11" s="37"/>
      <c r="J11" s="51"/>
      <c r="K11" s="52"/>
      <c r="L11" s="52"/>
      <c r="M11" s="52"/>
      <c r="N11" s="52"/>
      <c r="O11" s="52"/>
      <c r="P11" s="52"/>
      <c r="Q11" s="53"/>
    </row>
    <row r="12" spans="2:19" ht="15.75">
      <c r="B12" s="54"/>
      <c r="C12" s="138">
        <v>1</v>
      </c>
      <c r="D12" s="55"/>
      <c r="E12" s="56" t="s">
        <v>177</v>
      </c>
      <c r="F12" s="57"/>
      <c r="G12" s="58"/>
      <c r="H12" s="39"/>
      <c r="I12" s="39"/>
      <c r="J12" s="54"/>
      <c r="K12" s="138">
        <v>2</v>
      </c>
      <c r="L12" s="55"/>
      <c r="M12" s="56" t="s">
        <v>188</v>
      </c>
      <c r="N12" s="56"/>
      <c r="O12" s="56"/>
      <c r="P12" s="57"/>
      <c r="Q12" s="58"/>
    </row>
    <row r="13" spans="2:19" ht="5.25" customHeight="1">
      <c r="B13" s="54"/>
      <c r="C13" s="57"/>
      <c r="D13" s="55"/>
      <c r="E13" s="59"/>
      <c r="F13" s="59"/>
      <c r="G13" s="60"/>
      <c r="H13" s="50"/>
      <c r="I13" s="50"/>
      <c r="J13" s="54"/>
      <c r="K13" s="57"/>
      <c r="L13" s="55"/>
      <c r="M13" s="59"/>
      <c r="N13" s="59"/>
      <c r="O13" s="59"/>
      <c r="P13" s="59"/>
      <c r="Q13" s="60"/>
    </row>
    <row r="14" spans="2:19" ht="78.95" customHeight="1">
      <c r="B14" s="54"/>
      <c r="C14" s="55"/>
      <c r="D14" s="55"/>
      <c r="E14" s="127" t="s">
        <v>185</v>
      </c>
      <c r="F14" s="128">
        <v>10</v>
      </c>
      <c r="G14" s="61"/>
      <c r="H14" s="41"/>
      <c r="I14" s="41"/>
      <c r="J14" s="54"/>
      <c r="K14" s="55"/>
      <c r="L14" s="55"/>
      <c r="M14" s="127" t="s">
        <v>189</v>
      </c>
      <c r="N14" s="127"/>
      <c r="O14" s="127"/>
      <c r="P14" s="213">
        <v>1.87</v>
      </c>
      <c r="Q14" s="61"/>
    </row>
    <row r="15" spans="2:19" ht="6.95" customHeight="1">
      <c r="B15" s="54"/>
      <c r="C15" s="57"/>
      <c r="D15" s="55"/>
      <c r="E15" s="59"/>
      <c r="F15" s="59"/>
      <c r="G15" s="60"/>
      <c r="H15" s="50"/>
      <c r="I15" s="50"/>
      <c r="J15" s="54"/>
      <c r="K15" s="57"/>
      <c r="L15" s="55"/>
      <c r="M15" s="59"/>
      <c r="N15" s="59"/>
      <c r="O15" s="59"/>
      <c r="P15" s="59"/>
      <c r="Q15" s="60"/>
    </row>
    <row r="16" spans="2:19">
      <c r="B16" s="54"/>
      <c r="C16" s="55"/>
      <c r="D16" s="55"/>
      <c r="E16" s="127" t="s">
        <v>186</v>
      </c>
      <c r="F16" s="128">
        <v>10</v>
      </c>
      <c r="G16" s="61"/>
      <c r="H16" s="41"/>
      <c r="I16" s="41"/>
      <c r="J16" s="54"/>
      <c r="K16" s="55"/>
      <c r="L16" s="55"/>
      <c r="M16" s="127" t="s">
        <v>190</v>
      </c>
      <c r="N16" s="127"/>
      <c r="O16" s="127"/>
      <c r="P16" s="132">
        <v>3.2500000000000001E-2</v>
      </c>
      <c r="Q16" s="61"/>
    </row>
    <row r="17" spans="2:20" ht="5.25" customHeight="1">
      <c r="B17" s="54"/>
      <c r="C17" s="57"/>
      <c r="D17" s="55"/>
      <c r="E17" s="59"/>
      <c r="F17" s="59"/>
      <c r="G17" s="60"/>
      <c r="H17" s="50"/>
      <c r="I17" s="50"/>
      <c r="J17" s="54"/>
      <c r="K17" s="57"/>
      <c r="L17" s="55"/>
      <c r="M17" s="59"/>
      <c r="N17" s="59"/>
      <c r="O17" s="59"/>
      <c r="P17" s="59"/>
      <c r="Q17" s="60"/>
    </row>
    <row r="18" spans="2:20">
      <c r="B18" s="54"/>
      <c r="C18" s="55"/>
      <c r="D18" s="55"/>
      <c r="E18" s="127" t="s">
        <v>187</v>
      </c>
      <c r="F18" s="128">
        <v>0</v>
      </c>
      <c r="G18" s="61"/>
      <c r="H18" s="41"/>
      <c r="I18" s="41"/>
      <c r="J18" s="54"/>
      <c r="K18" s="55"/>
      <c r="L18" s="55"/>
      <c r="M18" s="127" t="s">
        <v>304</v>
      </c>
      <c r="N18" s="127"/>
      <c r="O18" s="127"/>
      <c r="P18" s="133">
        <v>10</v>
      </c>
      <c r="Q18" s="61"/>
    </row>
    <row r="19" spans="2:20" ht="5.25" customHeight="1">
      <c r="B19" s="54"/>
      <c r="C19" s="57"/>
      <c r="D19" s="55"/>
      <c r="E19" s="59"/>
      <c r="F19" s="59"/>
      <c r="G19" s="60"/>
      <c r="H19" s="50"/>
      <c r="I19" s="50"/>
      <c r="J19" s="54"/>
      <c r="K19" s="57"/>
      <c r="L19" s="55"/>
      <c r="M19" s="59"/>
      <c r="N19" s="59"/>
      <c r="O19" s="59"/>
      <c r="P19" s="59"/>
      <c r="Q19" s="60"/>
    </row>
    <row r="20" spans="2:20">
      <c r="B20" s="54"/>
      <c r="C20" s="55"/>
      <c r="D20" s="55"/>
      <c r="E20" s="127" t="s">
        <v>251</v>
      </c>
      <c r="F20" s="128">
        <v>1</v>
      </c>
      <c r="G20" s="61"/>
      <c r="H20" s="41"/>
      <c r="I20" s="41"/>
      <c r="J20" s="54"/>
      <c r="M20" s="127" t="s">
        <v>248</v>
      </c>
      <c r="N20" s="127"/>
      <c r="O20" s="127"/>
      <c r="P20" s="134">
        <v>1300</v>
      </c>
      <c r="Q20" s="61"/>
    </row>
    <row r="21" spans="2:20" ht="5.25" customHeight="1">
      <c r="B21" s="54"/>
      <c r="C21" s="57"/>
      <c r="D21" s="55"/>
      <c r="E21" s="59"/>
      <c r="F21" s="59"/>
      <c r="G21" s="60"/>
      <c r="H21" s="50"/>
      <c r="I21" s="50"/>
      <c r="J21" s="54"/>
      <c r="Q21" s="60"/>
    </row>
    <row r="22" spans="2:20" ht="15.75">
      <c r="B22" s="54"/>
      <c r="C22" s="55"/>
      <c r="D22" s="55"/>
      <c r="E22" s="127" t="s">
        <v>183</v>
      </c>
      <c r="F22" s="129" t="s">
        <v>176</v>
      </c>
      <c r="G22" s="62"/>
      <c r="H22" s="41"/>
      <c r="I22" s="41"/>
      <c r="J22" s="54"/>
      <c r="K22" s="138">
        <v>3</v>
      </c>
      <c r="L22" s="55"/>
      <c r="M22" s="56" t="s">
        <v>195</v>
      </c>
      <c r="N22" s="56"/>
      <c r="O22" s="56"/>
      <c r="P22" s="57"/>
      <c r="Q22" s="62"/>
      <c r="T22" t="s">
        <v>69</v>
      </c>
    </row>
    <row r="23" spans="2:20" ht="5.25" customHeight="1">
      <c r="B23" s="54"/>
      <c r="C23" s="57"/>
      <c r="D23" s="55"/>
      <c r="E23" s="59"/>
      <c r="F23" s="59"/>
      <c r="G23" s="60"/>
      <c r="H23" s="50"/>
      <c r="I23" s="50"/>
      <c r="J23" s="54"/>
      <c r="K23" s="57"/>
      <c r="L23" s="55"/>
      <c r="M23" s="59"/>
      <c r="N23" s="59"/>
      <c r="O23" s="59"/>
      <c r="P23" s="59"/>
      <c r="Q23" s="60"/>
    </row>
    <row r="24" spans="2:20">
      <c r="B24" s="54"/>
      <c r="C24" s="55"/>
      <c r="D24" s="55"/>
      <c r="E24" s="130" t="s">
        <v>184</v>
      </c>
      <c r="F24" s="131" t="s">
        <v>97</v>
      </c>
      <c r="G24" s="62"/>
      <c r="H24" s="41"/>
      <c r="I24" s="41"/>
      <c r="J24" s="54"/>
      <c r="K24" s="55"/>
      <c r="L24" s="55"/>
      <c r="M24" s="127" t="s">
        <v>196</v>
      </c>
      <c r="N24" s="127"/>
      <c r="O24" s="127"/>
      <c r="P24" s="135">
        <v>5.0999999999999996</v>
      </c>
      <c r="Q24" s="62"/>
    </row>
    <row r="25" spans="2:20" ht="5.25" customHeight="1">
      <c r="B25" s="54"/>
      <c r="C25" s="57"/>
      <c r="D25" s="55"/>
      <c r="E25" s="59"/>
      <c r="F25" s="59"/>
      <c r="G25" s="60"/>
      <c r="H25" s="50"/>
      <c r="I25" s="50"/>
      <c r="J25" s="54"/>
      <c r="K25" s="57"/>
      <c r="L25" s="55"/>
      <c r="M25" s="59"/>
      <c r="N25" s="59"/>
      <c r="O25" s="59"/>
      <c r="P25" s="96"/>
      <c r="Q25" s="60"/>
    </row>
    <row r="26" spans="2:20">
      <c r="B26" s="54"/>
      <c r="C26" s="55"/>
      <c r="D26" s="55"/>
      <c r="E26" s="130" t="s">
        <v>249</v>
      </c>
      <c r="F26" s="131" t="s">
        <v>321</v>
      </c>
      <c r="G26" s="62"/>
      <c r="H26" s="41"/>
      <c r="I26" s="41"/>
      <c r="J26" s="54"/>
      <c r="K26" s="55"/>
      <c r="L26" s="55"/>
      <c r="M26" s="127" t="s">
        <v>197</v>
      </c>
      <c r="N26" s="127"/>
      <c r="O26" s="127"/>
      <c r="P26" s="159">
        <v>3.5</v>
      </c>
      <c r="Q26" s="62"/>
    </row>
    <row r="27" spans="2:20" ht="5.25" customHeight="1">
      <c r="B27" s="54"/>
      <c r="C27" s="57"/>
      <c r="D27" s="55"/>
      <c r="E27" s="59"/>
      <c r="F27" s="59"/>
      <c r="G27" s="60"/>
      <c r="H27" s="50"/>
      <c r="I27" s="50"/>
      <c r="J27" s="54"/>
      <c r="K27" s="57"/>
      <c r="L27" s="55"/>
      <c r="M27" s="59"/>
      <c r="N27" s="59"/>
      <c r="O27" s="59"/>
      <c r="P27" s="96"/>
      <c r="Q27" s="60"/>
    </row>
    <row r="28" spans="2:20">
      <c r="B28" s="54"/>
      <c r="C28" s="55"/>
      <c r="D28" s="55"/>
      <c r="E28" s="63"/>
      <c r="F28" s="63"/>
      <c r="G28" s="62"/>
      <c r="H28" s="41"/>
      <c r="I28" s="41"/>
      <c r="J28" s="54"/>
      <c r="K28" s="55"/>
      <c r="L28" s="55"/>
      <c r="M28" s="127" t="s">
        <v>198</v>
      </c>
      <c r="N28" s="127"/>
      <c r="O28" s="127"/>
      <c r="P28" s="135">
        <v>13.3</v>
      </c>
      <c r="Q28" s="62"/>
    </row>
    <row r="29" spans="2:20" ht="6.75" customHeight="1">
      <c r="B29" s="64"/>
      <c r="C29" s="65"/>
      <c r="D29" s="65"/>
      <c r="E29" s="66"/>
      <c r="F29" s="67"/>
      <c r="G29" s="68"/>
      <c r="H29" s="42"/>
      <c r="I29" s="42"/>
      <c r="J29" s="64"/>
      <c r="K29" s="65"/>
      <c r="L29" s="65"/>
      <c r="M29" s="136"/>
      <c r="N29" s="136"/>
      <c r="O29" s="136"/>
      <c r="P29" s="137"/>
      <c r="Q29" s="68"/>
    </row>
    <row r="30" spans="2:20" ht="8.25" customHeight="1">
      <c r="C30" s="40"/>
      <c r="D30" s="37"/>
      <c r="E30" s="39"/>
      <c r="F30" s="43"/>
      <c r="G30" s="44"/>
      <c r="H30" s="45"/>
      <c r="I30" s="45"/>
      <c r="J30" s="39"/>
      <c r="K30" s="46"/>
    </row>
    <row r="31" spans="2:20" ht="20.25">
      <c r="B31" s="124" t="s">
        <v>250</v>
      </c>
      <c r="C31" s="120"/>
      <c r="D31" s="121"/>
      <c r="E31" s="120"/>
      <c r="F31" s="120"/>
      <c r="G31" s="120"/>
      <c r="H31" s="120"/>
      <c r="I31" s="120"/>
      <c r="J31" s="120"/>
      <c r="K31" s="120"/>
      <c r="L31" s="120"/>
      <c r="M31" s="120"/>
      <c r="N31" s="120"/>
      <c r="O31" s="120"/>
      <c r="P31" s="121"/>
      <c r="Q31" s="121"/>
    </row>
    <row r="32" spans="2:20" ht="9.75" customHeight="1">
      <c r="P32" s="121"/>
      <c r="Q32" s="121"/>
    </row>
    <row r="33" spans="2:17" ht="9" customHeight="1">
      <c r="B33" s="116"/>
      <c r="C33" s="192"/>
      <c r="D33" s="168"/>
      <c r="E33" s="168"/>
      <c r="F33" s="168"/>
      <c r="G33" s="168"/>
      <c r="H33" s="193"/>
      <c r="I33" s="193"/>
      <c r="J33" s="193"/>
      <c r="K33" s="168"/>
      <c r="L33" s="168"/>
      <c r="M33" s="168"/>
      <c r="N33" s="169"/>
      <c r="O33" s="167"/>
      <c r="P33" s="121"/>
      <c r="Q33" s="121"/>
    </row>
    <row r="34" spans="2:17" ht="15.75">
      <c r="B34" s="116"/>
      <c r="C34" s="194" t="s">
        <v>259</v>
      </c>
      <c r="D34" s="55"/>
      <c r="E34" s="119" t="s">
        <v>303</v>
      </c>
      <c r="F34" s="116"/>
      <c r="G34" s="117"/>
      <c r="H34" s="116"/>
      <c r="I34" s="116"/>
      <c r="J34" s="116"/>
      <c r="K34" s="138" t="s">
        <v>260</v>
      </c>
      <c r="L34" s="55"/>
      <c r="M34" s="119" t="s">
        <v>258</v>
      </c>
      <c r="N34" s="198"/>
      <c r="O34" s="170"/>
      <c r="P34" s="121"/>
      <c r="Q34" s="121"/>
    </row>
    <row r="35" spans="2:17" ht="22.5">
      <c r="B35" s="116"/>
      <c r="C35" s="195"/>
      <c r="D35" s="55"/>
      <c r="E35" s="139" t="s">
        <v>257</v>
      </c>
      <c r="F35" s="139"/>
      <c r="G35" s="117"/>
      <c r="H35" s="116"/>
      <c r="I35" s="116"/>
      <c r="J35" s="116"/>
      <c r="K35" s="57"/>
      <c r="L35" s="55"/>
      <c r="M35" s="139" t="s">
        <v>263</v>
      </c>
      <c r="N35" s="199"/>
      <c r="O35" s="170"/>
      <c r="P35" s="121"/>
      <c r="Q35" s="121"/>
    </row>
    <row r="36" spans="2:17" ht="5.25" customHeight="1">
      <c r="B36" s="116"/>
      <c r="C36" s="195"/>
      <c r="D36" s="55"/>
      <c r="E36" s="59"/>
      <c r="F36" s="59"/>
      <c r="G36" s="59"/>
      <c r="H36" s="59"/>
      <c r="I36" s="59"/>
      <c r="J36" s="116"/>
      <c r="K36" s="57"/>
      <c r="L36" s="55"/>
      <c r="M36" s="59"/>
      <c r="N36" s="171"/>
      <c r="O36" s="170"/>
      <c r="P36" s="121"/>
      <c r="Q36" s="121"/>
    </row>
    <row r="37" spans="2:17" ht="14.25" customHeight="1">
      <c r="B37" s="116"/>
      <c r="C37" s="196"/>
      <c r="D37" s="55"/>
      <c r="E37" s="126" t="s">
        <v>264</v>
      </c>
      <c r="F37" s="148" t="str">
        <f>IF(CALCULATION!H77=0,"YES","NO")</f>
        <v>YES</v>
      </c>
      <c r="G37" s="118"/>
      <c r="H37" s="149"/>
      <c r="I37" s="149"/>
      <c r="J37" s="149"/>
      <c r="K37" s="63"/>
      <c r="L37" s="63"/>
      <c r="M37" s="148" t="str">
        <f>IFERROR(IF(OR(SUM(F14:F18)&lt;20,VLOOKUP(F22,LIST!E4:F5,2,FALSE)="NE"),"NO","YES"),"")</f>
        <v>YES</v>
      </c>
      <c r="N37" s="198"/>
      <c r="O37" s="170"/>
      <c r="P37" s="121"/>
      <c r="Q37" s="121"/>
    </row>
    <row r="38" spans="2:17" ht="5.25" customHeight="1">
      <c r="B38" s="116"/>
      <c r="C38" s="195"/>
      <c r="D38" s="55"/>
      <c r="E38" s="59"/>
      <c r="F38" s="59"/>
      <c r="G38" s="59"/>
      <c r="H38" s="59"/>
      <c r="I38" s="59"/>
      <c r="J38" s="149"/>
      <c r="K38" s="150"/>
      <c r="L38" s="63"/>
      <c r="M38" s="59"/>
      <c r="N38" s="199"/>
      <c r="O38" s="170"/>
      <c r="P38" s="121"/>
      <c r="Q38" s="121"/>
    </row>
    <row r="39" spans="2:17">
      <c r="B39" s="116"/>
      <c r="C39" s="196"/>
      <c r="D39" s="55"/>
      <c r="E39" s="127" t="s">
        <v>261</v>
      </c>
      <c r="F39" s="209">
        <f>IF($F$37="NO","",CALCULATION!G163)</f>
        <v>108000</v>
      </c>
      <c r="G39" s="118"/>
      <c r="H39" s="149"/>
      <c r="I39" s="149"/>
      <c r="J39" s="149"/>
      <c r="K39" s="63"/>
      <c r="L39" s="63"/>
      <c r="M39" s="204">
        <f>IFERROR(IF(M37="NO","",CALCULATION!G189),"")</f>
        <v>120000</v>
      </c>
      <c r="N39" s="171"/>
      <c r="O39" s="170"/>
      <c r="P39" s="121"/>
      <c r="Q39" s="121"/>
    </row>
    <row r="40" spans="2:17" ht="5.25" customHeight="1">
      <c r="B40" s="116"/>
      <c r="C40" s="195"/>
      <c r="D40" s="55"/>
      <c r="E40" s="59"/>
      <c r="F40" s="59"/>
      <c r="G40" s="59"/>
      <c r="H40" s="59"/>
      <c r="I40" s="59"/>
      <c r="J40" s="149"/>
      <c r="K40" s="150"/>
      <c r="L40" s="63"/>
      <c r="M40" s="59"/>
      <c r="N40" s="198"/>
      <c r="O40" s="170"/>
      <c r="P40" s="121"/>
      <c r="Q40" s="121"/>
    </row>
    <row r="41" spans="2:17" ht="39" customHeight="1">
      <c r="B41" s="116"/>
      <c r="C41" s="195"/>
      <c r="D41" s="55"/>
      <c r="E41" s="59"/>
      <c r="F41" s="222" t="s">
        <v>310</v>
      </c>
      <c r="G41" s="222"/>
      <c r="H41" s="222"/>
      <c r="I41" s="222"/>
      <c r="J41" s="222"/>
      <c r="K41" s="222"/>
      <c r="L41" s="222"/>
      <c r="M41" s="222"/>
      <c r="N41" s="198"/>
      <c r="O41" s="170"/>
      <c r="P41" s="121"/>
      <c r="Q41" s="121"/>
    </row>
    <row r="42" spans="2:17" ht="5.25" customHeight="1">
      <c r="B42" s="116"/>
      <c r="C42" s="195"/>
      <c r="D42" s="55"/>
      <c r="E42" s="59"/>
      <c r="F42" s="59"/>
      <c r="G42" s="59"/>
      <c r="H42" s="59"/>
      <c r="I42" s="59"/>
      <c r="J42" s="149"/>
      <c r="K42" s="150"/>
      <c r="L42" s="63"/>
      <c r="M42" s="59"/>
      <c r="N42" s="198"/>
      <c r="O42" s="170"/>
      <c r="P42" s="121"/>
      <c r="Q42" s="121"/>
    </row>
    <row r="43" spans="2:17">
      <c r="B43" s="116"/>
      <c r="C43" s="196"/>
      <c r="D43" s="55"/>
      <c r="E43" s="127" t="s">
        <v>293</v>
      </c>
      <c r="F43" s="210">
        <f>IFERROR(IF(F37="NO","",CALCULATION!G180),"")</f>
        <v>640.79833975949214</v>
      </c>
      <c r="G43" s="221"/>
      <c r="H43" s="187"/>
      <c r="I43" s="187"/>
      <c r="J43" s="187"/>
      <c r="K43" s="130"/>
      <c r="L43" s="130"/>
      <c r="M43" s="204">
        <f>IFERROR(IF(M37="NO","",CALCULATION!G206),"")</f>
        <v>994.81356221264855</v>
      </c>
      <c r="N43" s="199"/>
      <c r="O43" s="170"/>
      <c r="P43" s="121"/>
      <c r="Q43" s="121"/>
    </row>
    <row r="44" spans="2:17" ht="5.25" customHeight="1">
      <c r="B44" s="116"/>
      <c r="C44" s="195"/>
      <c r="D44" s="55"/>
      <c r="E44" s="59"/>
      <c r="F44" s="211"/>
      <c r="G44" s="221"/>
      <c r="H44" s="59"/>
      <c r="I44" s="59"/>
      <c r="J44" s="187"/>
      <c r="K44" s="188"/>
      <c r="L44" s="130"/>
      <c r="M44" s="59"/>
      <c r="N44" s="171"/>
      <c r="O44" s="170"/>
      <c r="P44" s="121"/>
      <c r="Q44" s="121"/>
    </row>
    <row r="45" spans="2:17" ht="15.75">
      <c r="B45" s="116"/>
      <c r="C45" s="196"/>
      <c r="D45" s="55"/>
      <c r="E45" s="127" t="s">
        <v>294</v>
      </c>
      <c r="F45" s="210">
        <f>IFERROR(IF(F37="NO","",CALCULATION!G181),"")</f>
        <v>1206.7787802076616</v>
      </c>
      <c r="G45" s="221"/>
      <c r="H45" s="187"/>
      <c r="I45" s="187"/>
      <c r="J45" s="187"/>
      <c r="K45" s="130"/>
      <c r="L45" s="130"/>
      <c r="M45" s="204">
        <f>IFERROR(IF(M37="NO","",CALCULATION!G207),"")</f>
        <v>1799.4490030723252</v>
      </c>
      <c r="N45" s="198"/>
      <c r="O45" s="170"/>
      <c r="P45" s="121"/>
      <c r="Q45" s="121"/>
    </row>
    <row r="46" spans="2:17" ht="5.25" customHeight="1">
      <c r="B46" s="116"/>
      <c r="C46" s="195"/>
      <c r="D46" s="55"/>
      <c r="E46" s="59"/>
      <c r="F46" s="211"/>
      <c r="G46" s="221"/>
      <c r="H46" s="59"/>
      <c r="I46" s="59"/>
      <c r="J46" s="187"/>
      <c r="K46" s="188"/>
      <c r="L46" s="130"/>
      <c r="M46" s="59"/>
      <c r="N46" s="199"/>
      <c r="O46" s="170"/>
      <c r="P46" s="121"/>
      <c r="Q46" s="121"/>
    </row>
    <row r="47" spans="2:17">
      <c r="B47" s="116"/>
      <c r="C47" s="170"/>
      <c r="D47" s="116"/>
      <c r="E47" s="127" t="s">
        <v>295</v>
      </c>
      <c r="F47" s="210">
        <f>IFERROR(F45/ASSUMPTIONS!C87,"")</f>
        <v>1094.7725959191714</v>
      </c>
      <c r="G47" s="221"/>
      <c r="H47" s="189"/>
      <c r="I47" s="189"/>
      <c r="J47" s="189"/>
      <c r="K47" s="189"/>
      <c r="L47" s="189"/>
      <c r="M47" s="204">
        <f>IFERROR(M45/ASSUMPTIONS!C87,"")</f>
        <v>1632.434617369275</v>
      </c>
      <c r="N47" s="172"/>
      <c r="O47" s="170"/>
      <c r="P47" s="121"/>
      <c r="Q47" s="121"/>
    </row>
    <row r="48" spans="2:17" ht="6.95" customHeight="1">
      <c r="B48" s="116"/>
      <c r="C48" s="170"/>
      <c r="D48" s="116"/>
      <c r="E48" s="127"/>
      <c r="F48" s="212"/>
      <c r="G48" s="221"/>
      <c r="H48" s="189"/>
      <c r="I48" s="189"/>
      <c r="J48" s="189"/>
      <c r="K48" s="189"/>
      <c r="L48" s="189"/>
      <c r="M48" s="190"/>
      <c r="N48" s="172"/>
      <c r="O48" s="170"/>
      <c r="P48" s="121"/>
      <c r="Q48" s="121"/>
    </row>
    <row r="49" spans="2:17">
      <c r="B49" s="116"/>
      <c r="C49" s="170"/>
      <c r="D49" s="116"/>
      <c r="E49" s="127" t="s">
        <v>296</v>
      </c>
      <c r="F49" s="210">
        <f>IFERROR(F43/ASSUMPTIONS!C87,"")</f>
        <v>581.32316658607124</v>
      </c>
      <c r="G49" s="221"/>
      <c r="H49" s="189"/>
      <c r="I49" s="189"/>
      <c r="J49" s="189"/>
      <c r="K49" s="189"/>
      <c r="L49" s="189"/>
      <c r="M49" s="204">
        <f>IFERROR(M43/ASSUMPTIONS!C87,"")</f>
        <v>902.48075606013606</v>
      </c>
      <c r="N49" s="172"/>
      <c r="O49" s="170"/>
      <c r="P49" s="121"/>
      <c r="Q49" s="121"/>
    </row>
    <row r="50" spans="2:17" ht="6.75" customHeight="1">
      <c r="B50" s="116"/>
      <c r="C50" s="170"/>
      <c r="D50" s="116"/>
      <c r="E50" s="127"/>
      <c r="F50" s="116"/>
      <c r="G50" s="191"/>
      <c r="H50" s="189"/>
      <c r="I50" s="189"/>
      <c r="J50" s="189"/>
      <c r="K50" s="189"/>
      <c r="L50" s="189"/>
      <c r="N50" s="172"/>
      <c r="O50" s="170"/>
      <c r="P50" s="121"/>
      <c r="Q50" s="121"/>
    </row>
    <row r="51" spans="2:17">
      <c r="B51" s="116"/>
      <c r="C51" s="170"/>
      <c r="D51" s="116"/>
      <c r="E51" s="116"/>
      <c r="F51" s="206"/>
      <c r="G51" s="189"/>
      <c r="H51" s="189"/>
      <c r="I51" s="189"/>
      <c r="J51" s="189"/>
      <c r="K51" s="189"/>
      <c r="L51" s="189"/>
      <c r="M51" s="189"/>
      <c r="N51" s="172"/>
      <c r="O51" s="170"/>
      <c r="P51" s="121"/>
      <c r="Q51" s="121"/>
    </row>
    <row r="52" spans="2:17">
      <c r="B52" s="116"/>
      <c r="C52" s="170"/>
      <c r="D52" s="116"/>
      <c r="E52" s="127" t="s">
        <v>300</v>
      </c>
      <c r="F52" s="207">
        <f>IF($F$37="NO","",CALCULATION!H172*ASSUMPTIONS!C87)</f>
        <v>5.5326464056115991</v>
      </c>
      <c r="G52" s="189"/>
      <c r="H52" s="189"/>
      <c r="I52" s="189"/>
      <c r="J52" s="189"/>
      <c r="K52" s="189"/>
      <c r="L52" s="189"/>
      <c r="M52" s="189"/>
      <c r="N52" s="172"/>
      <c r="O52" s="170"/>
      <c r="P52" s="121"/>
      <c r="Q52" s="121"/>
    </row>
    <row r="53" spans="2:17" ht="5.0999999999999996" customHeight="1">
      <c r="B53" s="116"/>
      <c r="C53" s="170"/>
      <c r="D53" s="116"/>
      <c r="E53" s="116"/>
      <c r="F53" s="208"/>
      <c r="G53" s="189"/>
      <c r="H53" s="189"/>
      <c r="I53" s="189"/>
      <c r="J53" s="189"/>
      <c r="K53" s="189"/>
      <c r="L53" s="189"/>
      <c r="M53" s="189"/>
      <c r="N53" s="172"/>
      <c r="O53" s="170"/>
      <c r="P53" s="121"/>
      <c r="Q53" s="121"/>
    </row>
    <row r="54" spans="2:17">
      <c r="B54" s="116"/>
      <c r="C54" s="170"/>
      <c r="D54" s="116"/>
      <c r="E54" s="127" t="s">
        <v>301</v>
      </c>
      <c r="F54" s="207">
        <f>IF($F$37="NO","",CALCULATION!H173*ASSUMPTIONS!C87)</f>
        <v>14.766508604231998</v>
      </c>
      <c r="G54" s="189"/>
      <c r="H54" s="189"/>
      <c r="I54" s="189"/>
      <c r="J54" s="189"/>
      <c r="K54" s="189"/>
      <c r="L54" s="189"/>
      <c r="M54" s="189"/>
      <c r="N54" s="172"/>
      <c r="O54" s="170"/>
      <c r="P54" s="121"/>
      <c r="Q54" s="121"/>
    </row>
    <row r="55" spans="2:17">
      <c r="C55" s="173"/>
      <c r="D55" s="174"/>
      <c r="E55" s="174"/>
      <c r="F55" s="197"/>
      <c r="G55" s="174"/>
      <c r="H55" s="174"/>
      <c r="I55" s="174"/>
      <c r="J55" s="174"/>
      <c r="K55" s="174"/>
      <c r="L55" s="174"/>
      <c r="M55" s="174"/>
      <c r="N55" s="175"/>
      <c r="O55" s="173"/>
      <c r="P55" s="121"/>
      <c r="Q55" s="121"/>
    </row>
    <row r="56" spans="2:17" ht="9" customHeight="1">
      <c r="C56" s="116"/>
      <c r="D56" s="116"/>
      <c r="E56" s="116"/>
      <c r="F56" s="160"/>
      <c r="G56" s="116"/>
      <c r="H56" s="193"/>
      <c r="I56" s="116"/>
      <c r="J56" s="116"/>
      <c r="K56" s="116"/>
      <c r="L56" s="116"/>
      <c r="M56" s="116"/>
      <c r="N56" s="116"/>
      <c r="O56" s="116"/>
      <c r="P56" s="121"/>
      <c r="Q56" s="121"/>
    </row>
    <row r="57" spans="2:17" ht="20.25">
      <c r="B57" s="124" t="s">
        <v>302</v>
      </c>
      <c r="D57" s="116"/>
      <c r="E57" s="116"/>
      <c r="F57" s="116"/>
      <c r="G57" s="116"/>
      <c r="H57" s="116"/>
      <c r="P57" s="121"/>
      <c r="Q57" s="121"/>
    </row>
    <row r="58" spans="2:17" ht="9.75" customHeight="1">
      <c r="C58" s="124"/>
      <c r="D58" s="116"/>
      <c r="E58" s="116"/>
      <c r="F58" s="116"/>
      <c r="G58" s="116"/>
      <c r="H58" s="116"/>
      <c r="P58" s="121"/>
      <c r="Q58" s="121"/>
    </row>
    <row r="59" spans="2:17" ht="8.25" customHeight="1">
      <c r="B59" s="124"/>
      <c r="C59" s="167"/>
      <c r="D59" s="193"/>
      <c r="E59" s="193"/>
      <c r="F59" s="193"/>
      <c r="G59" s="193"/>
      <c r="H59" s="193"/>
      <c r="I59" s="193"/>
      <c r="J59" s="193"/>
      <c r="K59" s="193"/>
      <c r="L59" s="193"/>
      <c r="M59" s="193"/>
      <c r="N59" s="200"/>
      <c r="P59" s="121"/>
      <c r="Q59" s="121"/>
    </row>
    <row r="60" spans="2:17" ht="20.25">
      <c r="B60" s="124"/>
      <c r="C60" s="170"/>
      <c r="D60" s="116"/>
      <c r="E60" s="126" t="s">
        <v>306</v>
      </c>
      <c r="F60" s="163">
        <f>IF($F$37="NO","",SUM(CALCULATION!F73:F79)-SUM(CALCULATION!F98:F101))</f>
        <v>90000</v>
      </c>
      <c r="G60" s="116"/>
      <c r="H60" s="116"/>
      <c r="I60" s="116"/>
      <c r="J60" s="116"/>
      <c r="K60" s="116"/>
      <c r="L60" s="116"/>
      <c r="M60" s="116"/>
      <c r="N60" s="172"/>
      <c r="P60" s="121"/>
      <c r="Q60" s="121"/>
    </row>
    <row r="61" spans="2:17" ht="20.25">
      <c r="B61" s="124"/>
      <c r="C61" s="170"/>
      <c r="D61" s="116"/>
      <c r="E61" s="126" t="s">
        <v>307</v>
      </c>
      <c r="F61" s="163">
        <f>IF($F$37="NO","",(F60*Interest_Rate*(1+Interest_Rate)^$P$18)/((1+Interest_Rate)^$P$18-1))</f>
        <v>10685.796515165048</v>
      </c>
      <c r="G61" s="116"/>
      <c r="H61" s="116"/>
      <c r="I61" s="116"/>
      <c r="J61" s="116"/>
      <c r="K61" s="116"/>
      <c r="L61" s="116"/>
      <c r="M61" s="116"/>
      <c r="N61" s="172"/>
      <c r="P61" s="121"/>
      <c r="Q61" s="121"/>
    </row>
    <row r="62" spans="2:17" ht="20.25">
      <c r="B62" s="124"/>
      <c r="C62" s="170"/>
      <c r="D62" s="116"/>
      <c r="E62" s="126" t="s">
        <v>308</v>
      </c>
      <c r="F62" s="163">
        <f>IF($F$37="NO","",SUM(CALCULATION!F80:F81)-SUM(CALCULATION!F102:F103))</f>
        <v>18000</v>
      </c>
      <c r="G62" s="116"/>
      <c r="H62" s="116"/>
      <c r="I62" s="116"/>
      <c r="J62" s="116"/>
      <c r="K62" s="116"/>
      <c r="L62" s="116"/>
      <c r="M62" s="116"/>
      <c r="N62" s="172"/>
      <c r="P62" s="121"/>
      <c r="Q62" s="121"/>
    </row>
    <row r="63" spans="2:17" ht="20.25">
      <c r="B63" s="124"/>
      <c r="C63" s="170"/>
      <c r="D63" s="116"/>
      <c r="E63" s="126" t="s">
        <v>309</v>
      </c>
      <c r="F63" s="163">
        <f>IF($F$37="NO","",(F62*Interest_Rate*(1+Interest_Rate)^$P$18)/((1+Interest_Rate)^$P$18-1))</f>
        <v>2137.1593030330096</v>
      </c>
      <c r="G63" s="116"/>
      <c r="H63" s="116"/>
      <c r="I63" s="116"/>
      <c r="J63" s="116"/>
      <c r="K63" s="116"/>
      <c r="L63" s="116"/>
      <c r="M63" s="116"/>
      <c r="N63" s="172"/>
      <c r="P63" s="121"/>
      <c r="Q63" s="121"/>
    </row>
    <row r="64" spans="2:17" ht="20.25">
      <c r="B64" s="124"/>
      <c r="C64" s="170"/>
      <c r="D64" s="116"/>
      <c r="E64" s="126" t="s">
        <v>305</v>
      </c>
      <c r="F64" s="163">
        <f>IF(F37="NO","",CALCULATION!G163)</f>
        <v>108000</v>
      </c>
      <c r="G64" s="116"/>
      <c r="H64" s="116"/>
      <c r="I64" s="116"/>
      <c r="J64" s="116"/>
      <c r="K64" s="116"/>
      <c r="L64" s="116"/>
      <c r="M64" s="116"/>
      <c r="N64" s="172"/>
      <c r="P64" s="121"/>
      <c r="Q64" s="121"/>
    </row>
    <row r="65" spans="2:21" ht="20.25">
      <c r="B65" s="124"/>
      <c r="C65" s="170"/>
      <c r="D65" s="116"/>
      <c r="E65" s="126" t="s">
        <v>315</v>
      </c>
      <c r="F65" s="163">
        <f>IF($F$37="NO","",(F64*Interest_Rate*(1+Interest_Rate)^$P$18)/((1+Interest_Rate)^$P$18-1))</f>
        <v>12822.955818198057</v>
      </c>
      <c r="G65" s="116"/>
      <c r="H65" s="116"/>
      <c r="I65" s="116"/>
      <c r="J65" s="116"/>
      <c r="K65" s="116"/>
      <c r="L65" s="116"/>
      <c r="M65" s="116"/>
      <c r="N65" s="172"/>
      <c r="P65" s="121"/>
      <c r="Q65" s="121"/>
    </row>
    <row r="66" spans="2:21" ht="20.25">
      <c r="B66" s="124"/>
      <c r="C66" s="170"/>
      <c r="D66" s="116"/>
      <c r="E66" s="126" t="s">
        <v>314</v>
      </c>
      <c r="F66" s="163">
        <f>IF(F37="NO","",AVERAGE(CALCULATION!H167:V167))</f>
        <v>-2498.3452800000005</v>
      </c>
      <c r="G66" s="116"/>
      <c r="H66" s="116"/>
      <c r="I66" s="116"/>
      <c r="J66" s="116"/>
      <c r="K66" s="116"/>
      <c r="L66" s="116"/>
      <c r="M66" s="116"/>
      <c r="N66" s="172"/>
    </row>
    <row r="67" spans="2:21" ht="20.25">
      <c r="B67" s="124"/>
      <c r="C67" s="170"/>
      <c r="D67" s="116"/>
      <c r="E67" s="126" t="s">
        <v>316</v>
      </c>
      <c r="F67" s="163">
        <f>IF(F37="NO","",CALCULATION!H171)</f>
        <v>1626.6531600000001</v>
      </c>
      <c r="G67" s="116"/>
      <c r="H67" s="116"/>
      <c r="I67" s="116"/>
      <c r="J67" s="116"/>
      <c r="K67" s="116"/>
      <c r="L67" s="116"/>
      <c r="M67" s="116"/>
      <c r="N67" s="172"/>
    </row>
    <row r="68" spans="2:21" ht="20.25">
      <c r="B68" s="124"/>
      <c r="C68" s="170"/>
      <c r="D68" s="116"/>
      <c r="E68" s="126" t="s">
        <v>317</v>
      </c>
      <c r="F68" s="163">
        <f>IF(F37="NO","",F65+F66-F67)</f>
        <v>8697.9573781980562</v>
      </c>
      <c r="G68" s="116"/>
      <c r="H68" s="116"/>
      <c r="I68" s="116"/>
      <c r="J68" s="116"/>
      <c r="K68" s="116"/>
      <c r="L68" s="116"/>
      <c r="M68" s="116"/>
      <c r="N68" s="172"/>
    </row>
    <row r="69" spans="2:21" ht="20.25">
      <c r="B69" s="124"/>
      <c r="C69" s="170"/>
      <c r="D69" s="116"/>
      <c r="E69" s="126"/>
      <c r="F69" s="164"/>
      <c r="G69" s="116"/>
      <c r="H69" s="116"/>
      <c r="I69" s="116"/>
      <c r="J69" s="116"/>
      <c r="K69" s="116"/>
      <c r="L69" s="116"/>
      <c r="M69" s="116"/>
      <c r="N69" s="172"/>
    </row>
    <row r="70" spans="2:21" ht="20.25">
      <c r="B70" s="124"/>
      <c r="C70" s="170"/>
      <c r="D70" s="116"/>
      <c r="E70" s="126" t="s">
        <v>311</v>
      </c>
      <c r="F70" s="165">
        <f>IF(F37="NO","",IFERROR(CALCULATION!H172*ASSUMPTIONS!C87,""))</f>
        <v>5.5326464056115991</v>
      </c>
      <c r="G70" s="116"/>
      <c r="H70" s="116"/>
      <c r="I70" s="116"/>
      <c r="J70" s="116"/>
      <c r="K70" s="116"/>
      <c r="L70" s="116"/>
      <c r="M70" s="116"/>
      <c r="N70" s="172"/>
    </row>
    <row r="71" spans="2:21" ht="20.25">
      <c r="B71" s="124"/>
      <c r="C71" s="170"/>
      <c r="D71" s="116"/>
      <c r="E71" s="126" t="s">
        <v>291</v>
      </c>
      <c r="F71" s="166">
        <f>IFERROR(F68/F70,"")</f>
        <v>1572.115176089326</v>
      </c>
      <c r="G71" s="116"/>
      <c r="H71" s="116"/>
      <c r="I71" s="116"/>
      <c r="J71" s="116"/>
      <c r="K71" s="116"/>
      <c r="L71" s="116"/>
      <c r="M71" s="116"/>
      <c r="N71" s="172"/>
    </row>
    <row r="72" spans="2:21" ht="20.25">
      <c r="B72" s="124"/>
      <c r="C72" s="170"/>
      <c r="D72" s="116"/>
      <c r="E72" s="126" t="s">
        <v>312</v>
      </c>
      <c r="F72" s="165">
        <f>IF(F37="NO","",IFERROR(CALCULATION!H173*ASSUMPTIONS!C87,""))</f>
        <v>14.766508604231998</v>
      </c>
      <c r="G72" s="116"/>
      <c r="H72" s="116"/>
      <c r="I72" s="116"/>
      <c r="J72" s="116"/>
      <c r="K72" s="116"/>
      <c r="L72" s="116"/>
      <c r="M72" s="116"/>
      <c r="N72" s="172"/>
    </row>
    <row r="73" spans="2:21" ht="20.25">
      <c r="B73" s="124"/>
      <c r="C73" s="170"/>
      <c r="D73" s="116"/>
      <c r="E73" s="126" t="s">
        <v>292</v>
      </c>
      <c r="F73" s="166">
        <f>IFERROR(F68/F72,"")</f>
        <v>589.0327640282735</v>
      </c>
      <c r="G73" s="116"/>
      <c r="H73" s="116"/>
      <c r="I73" s="116"/>
      <c r="J73" s="116"/>
      <c r="K73" s="116"/>
      <c r="L73" s="116"/>
      <c r="M73" s="116"/>
      <c r="N73" s="172"/>
    </row>
    <row r="74" spans="2:21" ht="20.25">
      <c r="B74" s="124"/>
      <c r="C74" s="170"/>
      <c r="D74" s="116"/>
      <c r="E74" s="126" t="s">
        <v>313</v>
      </c>
      <c r="F74" s="165">
        <f>IFERROR(F72*ASSUMPTIONS!C88,"")</f>
        <v>17.143916489513352</v>
      </c>
      <c r="G74" s="116"/>
      <c r="H74" s="116"/>
      <c r="I74" s="116"/>
      <c r="J74" s="116"/>
      <c r="K74" s="116"/>
      <c r="L74" s="116"/>
      <c r="M74" s="116"/>
      <c r="N74" s="172"/>
    </row>
    <row r="75" spans="2:21" ht="20.25">
      <c r="B75" s="124"/>
      <c r="C75" s="170"/>
      <c r="D75" s="116"/>
      <c r="E75" s="126" t="s">
        <v>299</v>
      </c>
      <c r="F75" s="166">
        <f>IFERROR(F68/F74,"")</f>
        <v>507.34949528705721</v>
      </c>
      <c r="G75" s="116"/>
      <c r="H75" s="116"/>
      <c r="I75" s="116"/>
      <c r="J75" s="116"/>
      <c r="K75" s="116"/>
      <c r="L75" s="116"/>
      <c r="M75" s="116"/>
      <c r="N75" s="172"/>
    </row>
    <row r="76" spans="2:21" s="177" customFormat="1" ht="7.5" customHeight="1">
      <c r="B76" s="176"/>
      <c r="C76" s="201"/>
      <c r="D76" s="202"/>
      <c r="E76" s="202"/>
      <c r="F76" s="202"/>
      <c r="G76" s="202"/>
      <c r="H76" s="202"/>
      <c r="I76" s="202"/>
      <c r="J76" s="202"/>
      <c r="K76" s="202"/>
      <c r="L76" s="202"/>
      <c r="M76" s="202"/>
      <c r="N76" s="203"/>
    </row>
    <row r="77" spans="2:21" s="177" customFormat="1" ht="20.25">
      <c r="B77" s="176"/>
    </row>
    <row r="78" spans="2:21" s="177" customFormat="1" ht="20.25">
      <c r="B78" s="176"/>
    </row>
    <row r="79" spans="2:21" s="177" customFormat="1" ht="20.25">
      <c r="B79" s="176"/>
    </row>
    <row r="80" spans="2:21" s="177" customFormat="1">
      <c r="E80" s="178"/>
      <c r="F80" s="178"/>
      <c r="G80" s="178"/>
      <c r="H80" s="178"/>
      <c r="I80" s="178"/>
      <c r="J80" s="178"/>
      <c r="K80" s="178"/>
      <c r="L80" s="178"/>
      <c r="M80" s="178"/>
      <c r="N80" s="178"/>
      <c r="O80" s="178"/>
      <c r="P80" s="178"/>
      <c r="Q80" s="178"/>
      <c r="R80" s="178"/>
      <c r="S80" s="178"/>
      <c r="T80" s="178"/>
      <c r="U80" s="178"/>
    </row>
    <row r="81" spans="5:21" s="177" customFormat="1">
      <c r="E81" s="179"/>
      <c r="F81" s="180"/>
      <c r="G81" s="178"/>
      <c r="H81" s="178"/>
      <c r="I81" s="178"/>
      <c r="J81" s="178"/>
      <c r="K81" s="178"/>
      <c r="L81" s="178"/>
      <c r="M81" s="180"/>
      <c r="N81" s="178"/>
      <c r="O81" s="178"/>
      <c r="P81" s="178"/>
      <c r="Q81" s="178"/>
      <c r="R81" s="178"/>
      <c r="S81" s="178"/>
      <c r="T81" s="178"/>
      <c r="U81" s="178"/>
    </row>
    <row r="82" spans="5:21" s="177" customFormat="1">
      <c r="E82" s="179"/>
      <c r="F82" s="180"/>
      <c r="G82" s="178"/>
      <c r="H82" s="178"/>
      <c r="I82" s="178"/>
      <c r="J82" s="178"/>
      <c r="K82" s="178"/>
      <c r="L82" s="178"/>
      <c r="M82" s="180"/>
      <c r="N82" s="178"/>
      <c r="O82" s="178"/>
      <c r="P82" s="178"/>
      <c r="Q82" s="178"/>
      <c r="R82" s="178"/>
      <c r="S82" s="178"/>
      <c r="T82" s="178"/>
      <c r="U82" s="178"/>
    </row>
    <row r="83" spans="5:21" s="177" customFormat="1">
      <c r="E83" s="179"/>
      <c r="F83" s="180"/>
      <c r="G83" s="178"/>
      <c r="H83" s="178"/>
      <c r="I83" s="178"/>
      <c r="J83" s="178"/>
      <c r="K83" s="178"/>
      <c r="L83" s="178"/>
      <c r="M83" s="180"/>
      <c r="N83" s="178"/>
      <c r="O83" s="178"/>
      <c r="P83" s="178"/>
      <c r="Q83" s="178"/>
      <c r="R83" s="178"/>
      <c r="S83" s="178"/>
      <c r="T83" s="178"/>
      <c r="U83" s="178"/>
    </row>
    <row r="84" spans="5:21" s="177" customFormat="1">
      <c r="E84" s="178"/>
      <c r="F84" s="181"/>
      <c r="G84" s="178"/>
      <c r="H84" s="178"/>
      <c r="I84" s="178"/>
      <c r="J84" s="178"/>
      <c r="K84" s="178"/>
      <c r="L84" s="178"/>
      <c r="M84" s="178"/>
      <c r="N84" s="178"/>
      <c r="O84" s="178"/>
      <c r="P84" s="178"/>
      <c r="Q84" s="178"/>
      <c r="R84" s="178"/>
      <c r="S84" s="178"/>
      <c r="T84" s="178"/>
      <c r="U84" s="178"/>
    </row>
    <row r="85" spans="5:21" s="177" customFormat="1">
      <c r="E85" s="179"/>
      <c r="F85" s="182"/>
      <c r="G85" s="178"/>
      <c r="H85" s="178"/>
      <c r="I85" s="178"/>
      <c r="J85" s="178"/>
      <c r="K85" s="178"/>
      <c r="L85" s="178"/>
      <c r="M85" s="182"/>
      <c r="N85" s="183"/>
      <c r="O85" s="183"/>
      <c r="P85" s="178"/>
      <c r="Q85" s="178"/>
      <c r="R85" s="178"/>
      <c r="S85" s="178"/>
      <c r="T85" s="178"/>
      <c r="U85" s="178"/>
    </row>
    <row r="86" spans="5:21" s="177" customFormat="1">
      <c r="E86" s="179"/>
      <c r="F86" s="182"/>
      <c r="G86" s="178"/>
      <c r="H86" s="178"/>
      <c r="I86" s="178"/>
      <c r="J86" s="178"/>
      <c r="K86" s="178"/>
      <c r="L86" s="178"/>
      <c r="M86" s="182"/>
      <c r="N86" s="178"/>
      <c r="O86" s="178"/>
      <c r="P86" s="178"/>
      <c r="Q86" s="178"/>
      <c r="R86" s="178"/>
      <c r="S86" s="178"/>
      <c r="T86" s="178"/>
      <c r="U86" s="178"/>
    </row>
    <row r="87" spans="5:21" s="177" customFormat="1">
      <c r="E87" s="179"/>
      <c r="F87" s="182"/>
      <c r="G87" s="178"/>
      <c r="H87" s="178"/>
      <c r="I87" s="178"/>
      <c r="J87" s="178"/>
      <c r="K87" s="178"/>
      <c r="L87" s="178"/>
      <c r="M87" s="182"/>
      <c r="N87" s="178"/>
      <c r="O87" s="178"/>
      <c r="P87" s="178"/>
      <c r="Q87" s="178"/>
      <c r="R87" s="178"/>
      <c r="S87" s="178"/>
      <c r="T87" s="178"/>
      <c r="U87" s="178"/>
    </row>
    <row r="88" spans="5:21" s="177" customFormat="1">
      <c r="E88" s="179"/>
      <c r="F88" s="184"/>
      <c r="G88" s="178"/>
      <c r="H88" s="178"/>
      <c r="I88" s="178"/>
      <c r="J88" s="178"/>
      <c r="K88" s="178"/>
      <c r="L88" s="178"/>
      <c r="M88" s="182"/>
      <c r="N88" s="178"/>
      <c r="O88" s="178"/>
      <c r="P88" s="178"/>
      <c r="Q88" s="178"/>
      <c r="R88" s="178"/>
      <c r="S88" s="178"/>
      <c r="T88" s="178"/>
      <c r="U88" s="178"/>
    </row>
    <row r="89" spans="5:21" s="177" customFormat="1">
      <c r="E89" s="185"/>
      <c r="F89" s="186"/>
      <c r="G89" s="178"/>
      <c r="H89" s="178"/>
      <c r="I89" s="178"/>
      <c r="J89" s="178"/>
      <c r="K89" s="178"/>
      <c r="L89" s="178"/>
      <c r="M89" s="186"/>
      <c r="N89" s="178"/>
      <c r="O89" s="178"/>
      <c r="P89" s="178"/>
      <c r="Q89" s="178"/>
      <c r="R89" s="178"/>
      <c r="S89" s="178"/>
      <c r="T89" s="178"/>
      <c r="U89" s="178"/>
    </row>
    <row r="90" spans="5:21" s="177" customFormat="1">
      <c r="E90" s="178"/>
      <c r="F90" s="178"/>
      <c r="G90" s="178"/>
      <c r="H90" s="178"/>
      <c r="I90" s="178"/>
      <c r="J90" s="178"/>
      <c r="K90" s="178"/>
      <c r="L90" s="178"/>
      <c r="M90" s="178"/>
      <c r="N90" s="178"/>
      <c r="O90" s="178"/>
      <c r="P90" s="178"/>
      <c r="Q90" s="178"/>
      <c r="R90" s="178"/>
      <c r="S90" s="178"/>
      <c r="T90" s="178"/>
      <c r="U90" s="178"/>
    </row>
    <row r="91" spans="5:21" s="177" customFormat="1">
      <c r="E91" s="178"/>
      <c r="F91" s="178"/>
      <c r="G91" s="178"/>
      <c r="H91" s="178"/>
      <c r="I91" s="178"/>
      <c r="J91" s="178"/>
      <c r="K91" s="178"/>
      <c r="L91" s="178"/>
      <c r="M91" s="178"/>
      <c r="N91" s="178"/>
      <c r="O91" s="178"/>
      <c r="P91" s="178"/>
      <c r="Q91" s="178"/>
      <c r="R91" s="178"/>
      <c r="S91" s="178"/>
      <c r="T91" s="178"/>
      <c r="U91" s="178"/>
    </row>
    <row r="92" spans="5:21" s="177" customFormat="1">
      <c r="E92" s="178"/>
      <c r="F92" s="178"/>
      <c r="G92" s="178"/>
      <c r="H92" s="178"/>
      <c r="I92" s="178"/>
      <c r="J92" s="178"/>
      <c r="K92" s="178"/>
      <c r="L92" s="178"/>
      <c r="M92" s="178"/>
      <c r="N92" s="178"/>
      <c r="O92" s="178"/>
      <c r="P92" s="178"/>
      <c r="Q92" s="178"/>
      <c r="R92" s="178"/>
      <c r="S92" s="178"/>
      <c r="T92" s="178"/>
      <c r="U92" s="178"/>
    </row>
    <row r="93" spans="5:21" s="177" customFormat="1">
      <c r="E93" s="178"/>
      <c r="F93" s="178"/>
      <c r="G93" s="178"/>
      <c r="H93" s="178"/>
      <c r="I93" s="178"/>
      <c r="J93" s="178"/>
      <c r="K93" s="178"/>
      <c r="L93" s="178"/>
      <c r="M93" s="178"/>
      <c r="N93" s="178"/>
      <c r="O93" s="178"/>
      <c r="P93" s="178"/>
      <c r="Q93" s="178"/>
      <c r="R93" s="178"/>
      <c r="S93" s="178"/>
      <c r="T93" s="178"/>
      <c r="U93" s="178"/>
    </row>
    <row r="94" spans="5:21" s="177" customFormat="1">
      <c r="E94" s="178"/>
      <c r="F94" s="178"/>
      <c r="G94" s="178"/>
      <c r="H94" s="178"/>
      <c r="I94" s="178"/>
      <c r="J94" s="178"/>
      <c r="K94" s="178"/>
      <c r="L94" s="178"/>
      <c r="M94" s="178"/>
      <c r="N94" s="178"/>
      <c r="O94" s="178"/>
      <c r="P94" s="178"/>
      <c r="Q94" s="178"/>
      <c r="R94" s="178"/>
      <c r="S94" s="178"/>
      <c r="T94" s="178"/>
      <c r="U94" s="178"/>
    </row>
    <row r="95" spans="5:21" s="177" customFormat="1">
      <c r="E95" s="178"/>
      <c r="F95" s="178"/>
      <c r="G95" s="178"/>
      <c r="H95" s="178"/>
      <c r="I95" s="178"/>
      <c r="J95" s="178"/>
      <c r="K95" s="178"/>
      <c r="L95" s="178"/>
      <c r="M95" s="178"/>
      <c r="N95" s="178"/>
      <c r="O95" s="178"/>
      <c r="P95" s="178"/>
      <c r="Q95" s="178"/>
      <c r="R95" s="178"/>
      <c r="S95" s="178"/>
      <c r="T95" s="178"/>
      <c r="U95" s="178"/>
    </row>
    <row r="96" spans="5:21" s="177" customFormat="1">
      <c r="E96" s="178"/>
      <c r="F96" s="178"/>
      <c r="G96" s="178"/>
      <c r="H96" s="178"/>
      <c r="I96" s="178"/>
      <c r="J96" s="178"/>
      <c r="K96" s="178"/>
      <c r="L96" s="178"/>
      <c r="M96" s="178"/>
      <c r="N96" s="178"/>
      <c r="O96" s="178"/>
      <c r="P96" s="178"/>
      <c r="Q96" s="178"/>
      <c r="R96" s="178"/>
      <c r="S96" s="178"/>
      <c r="T96" s="178"/>
      <c r="U96" s="178"/>
    </row>
    <row r="97" spans="5:21" s="177" customFormat="1">
      <c r="E97" s="178"/>
      <c r="F97" s="178"/>
      <c r="G97" s="178"/>
      <c r="H97" s="178"/>
      <c r="I97" s="178"/>
      <c r="J97" s="178"/>
      <c r="K97" s="178"/>
      <c r="L97" s="178"/>
      <c r="M97" s="178"/>
      <c r="N97" s="178"/>
      <c r="O97" s="178"/>
      <c r="P97" s="178"/>
      <c r="Q97" s="178"/>
      <c r="R97" s="178"/>
      <c r="S97" s="178"/>
      <c r="T97" s="178"/>
      <c r="U97" s="178"/>
    </row>
    <row r="98" spans="5:21" s="177" customFormat="1">
      <c r="E98" s="178"/>
      <c r="F98" s="178"/>
      <c r="G98" s="178"/>
      <c r="H98" s="178"/>
      <c r="I98" s="178"/>
      <c r="J98" s="178"/>
      <c r="K98" s="178"/>
      <c r="L98" s="178"/>
      <c r="M98" s="178"/>
      <c r="N98" s="178"/>
      <c r="O98" s="178"/>
      <c r="P98" s="178"/>
      <c r="Q98" s="178"/>
      <c r="R98" s="178"/>
      <c r="S98" s="178"/>
      <c r="T98" s="178"/>
      <c r="U98" s="178"/>
    </row>
    <row r="99" spans="5:21" s="177" customFormat="1">
      <c r="E99" s="178"/>
      <c r="F99" s="178"/>
      <c r="G99" s="178"/>
      <c r="H99" s="178"/>
      <c r="I99" s="178"/>
      <c r="J99" s="178"/>
      <c r="K99" s="178"/>
      <c r="L99" s="178"/>
      <c r="M99" s="178"/>
      <c r="N99" s="178"/>
      <c r="O99" s="178"/>
      <c r="P99" s="178"/>
      <c r="Q99" s="178"/>
      <c r="R99" s="178"/>
      <c r="S99" s="178"/>
      <c r="T99" s="178"/>
      <c r="U99" s="178"/>
    </row>
    <row r="100" spans="5:21" s="177" customFormat="1">
      <c r="E100" s="178"/>
      <c r="F100" s="178"/>
      <c r="G100" s="178"/>
      <c r="H100" s="178"/>
      <c r="I100" s="178"/>
      <c r="J100" s="178"/>
      <c r="K100" s="178"/>
      <c r="L100" s="178"/>
      <c r="M100" s="178"/>
      <c r="N100" s="178"/>
      <c r="O100" s="178"/>
      <c r="P100" s="178"/>
      <c r="Q100" s="178"/>
      <c r="R100" s="178"/>
      <c r="S100" s="178"/>
      <c r="T100" s="178"/>
      <c r="U100" s="178"/>
    </row>
    <row r="101" spans="5:21" s="177" customFormat="1">
      <c r="E101" s="178"/>
      <c r="F101" s="178"/>
      <c r="G101" s="178"/>
      <c r="H101" s="178"/>
      <c r="I101" s="178"/>
      <c r="J101" s="178"/>
      <c r="K101" s="178"/>
      <c r="L101" s="178"/>
      <c r="M101" s="178"/>
      <c r="N101" s="178"/>
      <c r="O101" s="178"/>
      <c r="P101" s="178"/>
      <c r="Q101" s="178"/>
      <c r="R101" s="178"/>
      <c r="S101" s="178"/>
      <c r="T101" s="178"/>
      <c r="U101" s="178"/>
    </row>
    <row r="102" spans="5:21" s="177" customFormat="1"/>
    <row r="103" spans="5:21" s="177" customFormat="1"/>
    <row r="104" spans="5:21" s="177" customFormat="1"/>
  </sheetData>
  <mergeCells count="3">
    <mergeCell ref="B7:Q7"/>
    <mergeCell ref="G43:G49"/>
    <mergeCell ref="F41:M41"/>
  </mergeCells>
  <dataValidations count="14">
    <dataValidation type="list" allowBlank="1" showInputMessage="1" showErrorMessage="1" sqref="F22" xr:uid="{00000000-0002-0000-0100-000000000000}">
      <formula1>Electricity_available_on_site</formula1>
    </dataValidation>
    <dataValidation type="list" allowBlank="1" showInputMessage="1" showErrorMessage="1" sqref="F24" xr:uid="{00000000-0002-0000-0100-000001000000}">
      <formula1>Retrofit_New</formula1>
    </dataValidation>
    <dataValidation type="whole" allowBlank="1" showInputMessage="1" showErrorMessage="1" errorTitle="Value out of range" error="Please enetr a number between 0 and 40" prompt="Please select a number between 0 and 200" sqref="F14 F16" xr:uid="{00000000-0002-0000-0100-000002000000}">
      <formula1>0</formula1>
      <formula2>200</formula2>
    </dataValidation>
    <dataValidation type="whole" allowBlank="1" showInputMessage="1" showErrorMessage="1" errorTitle="Value out of range" error="Please enetr a number between 0 and 10" prompt="Please select a number between 0 and 10" sqref="F18" xr:uid="{00000000-0002-0000-0100-000003000000}">
      <formula1>0</formula1>
      <formula2>10</formula2>
    </dataValidation>
    <dataValidation type="list" allowBlank="1" showErrorMessage="1" errorTitle="Number ourt of range" error="Please enetr a number between 0 and 10" sqref="F20" xr:uid="{00000000-0002-0000-0100-000004000000}">
      <formula1>Numberpump</formula1>
    </dataValidation>
    <dataValidation type="list" allowBlank="1" showInputMessage="1" showErrorMessage="1" sqref="F26:F27" xr:uid="{00000000-0002-0000-0100-000005000000}">
      <formula1>SupplyGas</formula1>
    </dataValidation>
    <dataValidation type="decimal" allowBlank="1" showInputMessage="1" showErrorMessage="1" sqref="P14" xr:uid="{00000000-0002-0000-0100-000006000000}">
      <formula1>0</formula1>
      <formula2>5</formula2>
    </dataValidation>
    <dataValidation type="decimal" allowBlank="1" showInputMessage="1" showErrorMessage="1" errorTitle="Value out of range" error="Please input a value between 0.1 and 35 cf/h" prompt="Please input a value between 0.1 and 35 cf/h" sqref="P24" xr:uid="{00000000-0002-0000-0100-000007000000}">
      <formula1>0.1</formula1>
      <formula2>35</formula2>
    </dataValidation>
    <dataValidation type="decimal" allowBlank="1" showInputMessage="1" showErrorMessage="1" errorTitle="Value out of range" error="Please input a value between 0.1 and 20 cf/h" prompt="Please input a value between 0.1 and 20 cf/h" sqref="P26" xr:uid="{00000000-0002-0000-0100-000008000000}">
      <formula1>0.1</formula1>
      <formula2>20</formula2>
    </dataValidation>
    <dataValidation type="decimal" allowBlank="1" showInputMessage="1" showErrorMessage="1" errorTitle="Value out of range" error="Please input a value between 5 and 30 cf/h" prompt="Please input a value between 5 and 30 cf/h" sqref="P28" xr:uid="{00000000-0002-0000-0100-000009000000}">
      <formula1>5</formula1>
      <formula2>30</formula2>
    </dataValidation>
    <dataValidation type="decimal" allowBlank="1" showInputMessage="1" showErrorMessage="1" errorTitle="Value out of range" error="Please input a value between 1000 and 3000 USD/tCH4." prompt="Please input a value between 1000 and 3000 USD/tCH4." sqref="P20" xr:uid="{00000000-0002-0000-0100-00000A000000}">
      <formula1>1000</formula1>
      <formula2>3000</formula2>
    </dataValidation>
    <dataValidation allowBlank="1" showInputMessage="1" showErrorMessage="1" prompt="Pneumatic controllers can be designed to release supply-gas continuously or intermittently. Continuous-bleed controllers are designed to emit continuously." sqref="E14" xr:uid="{00000000-0002-0000-0100-00000B000000}"/>
    <dataValidation allowBlank="1" showInputMessage="1" showErrorMessage="1" prompt="Pneumatic controllers can be designed to release supply-gas continuously or intermittently. Intermittent-vent (equivalent to intermittent bleed in Continuous-bleed controllers in EPA documents) are designed to emit intermittently." sqref="E16" xr:uid="{00000000-0002-0000-0100-00000C000000}"/>
    <dataValidation allowBlank="1" showInputMessage="1" showErrorMessage="1" prompt="Incremental CAPEX is the difference between the CAPEX of the zero emission technology and the CAPEX of the baseline scenario (i.e. pneumatic controllers). The baseline CAPEX is zero for retrofit cases. " sqref="E39" xr:uid="{00000000-0002-0000-0100-00000D000000}"/>
  </dataValidation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E000000}">
          <x14:formula1>
            <xm:f>LIST!$J$9:$J$11</xm:f>
          </x14:formula1>
          <xm:sqref>P18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16"/>
  <sheetViews>
    <sheetView showGridLines="0" workbookViewId="0">
      <selection activeCell="K6" sqref="K6"/>
    </sheetView>
  </sheetViews>
  <sheetFormatPr defaultColWidth="8.875" defaultRowHeight="11.25"/>
  <cols>
    <col min="1" max="1" width="8.875" style="47"/>
    <col min="2" max="2" width="12.875" style="47" customWidth="1"/>
    <col min="3" max="3" width="1.625" style="47" bestFit="1" customWidth="1"/>
    <col min="4" max="4" width="1.625" style="47" customWidth="1"/>
    <col min="5" max="5" width="19" style="47" bestFit="1" customWidth="1"/>
    <col min="6" max="6" width="2.5" style="47" bestFit="1" customWidth="1"/>
    <col min="7" max="7" width="1.625" style="47" customWidth="1"/>
    <col min="8" max="8" width="15.5" style="47" customWidth="1"/>
    <col min="9" max="9" width="1.375" style="47" customWidth="1"/>
    <col min="10" max="10" width="17.125" style="47" customWidth="1"/>
    <col min="11" max="11" width="2.125" style="47" bestFit="1" customWidth="1"/>
    <col min="12" max="12" width="1.625" style="47" customWidth="1"/>
    <col min="13" max="16384" width="8.875" style="47"/>
  </cols>
  <sheetData>
    <row r="3" spans="2:11" s="48" customFormat="1">
      <c r="B3" s="49" t="s">
        <v>2</v>
      </c>
      <c r="C3" s="49"/>
      <c r="E3" s="49" t="s">
        <v>180</v>
      </c>
      <c r="F3" s="49"/>
      <c r="H3" s="49" t="s">
        <v>181</v>
      </c>
      <c r="J3" s="49" t="s">
        <v>182</v>
      </c>
      <c r="K3" s="49"/>
    </row>
    <row r="4" spans="2:11">
      <c r="B4" s="47" t="s">
        <v>178</v>
      </c>
      <c r="C4" s="47" t="s">
        <v>3</v>
      </c>
      <c r="E4" s="47" t="s">
        <v>176</v>
      </c>
      <c r="F4" s="47" t="s">
        <v>5</v>
      </c>
      <c r="H4" s="151">
        <v>0</v>
      </c>
      <c r="J4" s="47" t="s">
        <v>321</v>
      </c>
      <c r="K4" s="47" t="s">
        <v>323</v>
      </c>
    </row>
    <row r="5" spans="2:11">
      <c r="B5" s="47" t="s">
        <v>97</v>
      </c>
      <c r="C5" s="47" t="s">
        <v>4</v>
      </c>
      <c r="E5" s="47" t="s">
        <v>179</v>
      </c>
      <c r="F5" s="47" t="s">
        <v>6</v>
      </c>
      <c r="H5" s="151">
        <v>1</v>
      </c>
      <c r="J5" s="47" t="s">
        <v>320</v>
      </c>
      <c r="K5" s="47" t="s">
        <v>322</v>
      </c>
    </row>
    <row r="6" spans="2:11">
      <c r="H6" s="151">
        <v>2</v>
      </c>
    </row>
    <row r="8" spans="2:11">
      <c r="B8" s="49" t="s">
        <v>191</v>
      </c>
      <c r="E8" s="49" t="s">
        <v>192</v>
      </c>
      <c r="H8" s="49" t="s">
        <v>193</v>
      </c>
      <c r="J8" s="49" t="s">
        <v>318</v>
      </c>
    </row>
    <row r="9" spans="2:11" ht="14.25">
      <c r="B9" s="69">
        <v>0.03</v>
      </c>
      <c r="E9" s="47">
        <v>1</v>
      </c>
      <c r="H9" s="152">
        <v>5</v>
      </c>
      <c r="J9" s="205">
        <v>5</v>
      </c>
    </row>
    <row r="10" spans="2:11" ht="14.25">
      <c r="B10" s="69">
        <v>0.04</v>
      </c>
      <c r="E10" s="47">
        <v>2</v>
      </c>
      <c r="H10" s="152">
        <v>10</v>
      </c>
      <c r="J10" s="205">
        <v>10</v>
      </c>
    </row>
    <row r="11" spans="2:11" ht="14.25">
      <c r="B11" s="69">
        <v>0.05</v>
      </c>
      <c r="E11" s="47">
        <v>3</v>
      </c>
      <c r="H11" s="152">
        <v>15</v>
      </c>
      <c r="J11" s="205">
        <v>15</v>
      </c>
    </row>
    <row r="12" spans="2:11">
      <c r="B12" s="69">
        <v>0.06</v>
      </c>
      <c r="E12" s="47">
        <v>4</v>
      </c>
      <c r="H12" s="153">
        <v>20</v>
      </c>
    </row>
    <row r="13" spans="2:11">
      <c r="B13" s="69">
        <v>7.0000000000000007E-2</v>
      </c>
      <c r="E13" s="47">
        <v>5</v>
      </c>
    </row>
    <row r="14" spans="2:11">
      <c r="B14" s="69">
        <v>0.08</v>
      </c>
    </row>
    <row r="15" spans="2:11">
      <c r="B15" s="69">
        <v>0.09</v>
      </c>
    </row>
    <row r="16" spans="2:11">
      <c r="B16" s="69">
        <v>0.1</v>
      </c>
    </row>
  </sheetData>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R88"/>
  <sheetViews>
    <sheetView showGridLines="0" topLeftCell="A43" zoomScale="121" zoomScaleNormal="121" zoomScalePageLayoutView="121" workbookViewId="0">
      <selection activeCell="C63" sqref="C63"/>
    </sheetView>
  </sheetViews>
  <sheetFormatPr defaultColWidth="8.875" defaultRowHeight="14.25"/>
  <cols>
    <col min="1" max="1" width="9" style="103" customWidth="1"/>
    <col min="2" max="2" width="59.875" customWidth="1"/>
    <col min="3" max="3" width="23.625" customWidth="1"/>
    <col min="4" max="4" width="14.875" bestFit="1" customWidth="1"/>
    <col min="5" max="5" width="45" customWidth="1"/>
  </cols>
  <sheetData>
    <row r="1" spans="1:18">
      <c r="A1"/>
    </row>
    <row r="2" spans="1:18">
      <c r="A2"/>
    </row>
    <row r="3" spans="1:18">
      <c r="A3"/>
    </row>
    <row r="4" spans="1:18">
      <c r="A4"/>
    </row>
    <row r="5" spans="1:18" ht="23.25">
      <c r="A5"/>
      <c r="B5" s="108" t="s">
        <v>247</v>
      </c>
      <c r="C5" s="108"/>
      <c r="D5" s="108"/>
      <c r="E5" s="108"/>
      <c r="F5" s="108"/>
      <c r="G5" s="108"/>
      <c r="H5" s="108"/>
      <c r="I5" s="108"/>
      <c r="J5" s="108"/>
      <c r="K5" s="108"/>
      <c r="L5" s="108"/>
      <c r="M5" s="108"/>
      <c r="N5" s="108"/>
      <c r="O5" s="108"/>
      <c r="P5" s="108"/>
      <c r="Q5" s="108"/>
      <c r="R5" s="108"/>
    </row>
    <row r="6" spans="1:18">
      <c r="A6"/>
    </row>
    <row r="7" spans="1:18" ht="14.25" customHeight="1">
      <c r="A7"/>
      <c r="B7" s="220" t="s">
        <v>262</v>
      </c>
      <c r="C7" s="220"/>
      <c r="D7" s="220"/>
      <c r="E7" s="220"/>
    </row>
    <row r="8" spans="1:18" s="3" customFormat="1" ht="12"/>
    <row r="9" spans="1:18" s="113" customFormat="1" ht="22.5" customHeight="1">
      <c r="B9" s="112" t="s">
        <v>15</v>
      </c>
    </row>
    <row r="11" spans="1:18" ht="30.75">
      <c r="A11" s="102"/>
      <c r="B11" s="114" t="s">
        <v>26</v>
      </c>
      <c r="C11" s="114" t="s">
        <v>245</v>
      </c>
      <c r="D11" s="114" t="s">
        <v>12</v>
      </c>
      <c r="E11" s="114" t="s">
        <v>246</v>
      </c>
    </row>
    <row r="12" spans="1:18" s="42" customFormat="1" ht="25.5" customHeight="1">
      <c r="A12" s="102"/>
      <c r="B12" s="99" t="s">
        <v>27</v>
      </c>
      <c r="C12" s="100"/>
      <c r="D12" s="100"/>
      <c r="E12" s="100"/>
    </row>
    <row r="13" spans="1:18">
      <c r="B13" s="6" t="s">
        <v>35</v>
      </c>
      <c r="C13" s="140">
        <v>60</v>
      </c>
      <c r="D13" s="8" t="s">
        <v>11</v>
      </c>
      <c r="E13" s="12" t="s">
        <v>24</v>
      </c>
    </row>
    <row r="14" spans="1:18">
      <c r="B14" s="6" t="s">
        <v>16</v>
      </c>
      <c r="C14" s="140">
        <v>24</v>
      </c>
      <c r="D14" s="8" t="s">
        <v>11</v>
      </c>
      <c r="E14" s="12" t="s">
        <v>24</v>
      </c>
    </row>
    <row r="15" spans="1:18">
      <c r="B15" s="6" t="s">
        <v>17</v>
      </c>
      <c r="C15" s="140">
        <v>365</v>
      </c>
      <c r="D15" s="8" t="s">
        <v>11</v>
      </c>
      <c r="E15" s="12" t="s">
        <v>24</v>
      </c>
    </row>
    <row r="16" spans="1:18">
      <c r="A16" s="103" t="s">
        <v>69</v>
      </c>
      <c r="B16" s="6" t="s">
        <v>36</v>
      </c>
      <c r="C16" s="141">
        <v>7.4569999999999997E-4</v>
      </c>
      <c r="D16" s="8" t="s">
        <v>37</v>
      </c>
      <c r="E16" s="12" t="s">
        <v>24</v>
      </c>
    </row>
    <row r="17" spans="1:6">
      <c r="B17" s="6" t="s">
        <v>19</v>
      </c>
      <c r="C17" s="141">
        <v>0.65600000000000003</v>
      </c>
      <c r="D17" s="8" t="s">
        <v>20</v>
      </c>
      <c r="E17" s="12" t="s">
        <v>24</v>
      </c>
    </row>
    <row r="18" spans="1:6">
      <c r="B18" s="6" t="s">
        <v>19</v>
      </c>
      <c r="C18" s="141">
        <v>1.8575851369600001E-2</v>
      </c>
      <c r="D18" s="8" t="s">
        <v>23</v>
      </c>
      <c r="E18" s="12" t="s">
        <v>24</v>
      </c>
    </row>
    <row r="19" spans="1:6">
      <c r="B19" s="6" t="s">
        <v>21</v>
      </c>
      <c r="C19" s="141">
        <v>2.8316846600000001E-2</v>
      </c>
      <c r="D19" s="8" t="s">
        <v>22</v>
      </c>
      <c r="E19" s="12" t="s">
        <v>24</v>
      </c>
    </row>
    <row r="20" spans="1:6">
      <c r="A20" s="103" t="s">
        <v>324</v>
      </c>
      <c r="B20" s="72" t="s">
        <v>86</v>
      </c>
      <c r="C20" s="13">
        <v>1.6299999999999999E-2</v>
      </c>
      <c r="D20" s="8" t="s">
        <v>126</v>
      </c>
      <c r="E20" s="35" t="s">
        <v>164</v>
      </c>
      <c r="F20" t="s">
        <v>322</v>
      </c>
    </row>
    <row r="21" spans="1:6">
      <c r="A21" s="103" t="s">
        <v>325</v>
      </c>
      <c r="B21" s="72" t="s">
        <v>127</v>
      </c>
      <c r="C21" s="13">
        <v>4.7999999999999996E-3</v>
      </c>
      <c r="D21" s="8" t="s">
        <v>138</v>
      </c>
      <c r="E21" s="35" t="s">
        <v>164</v>
      </c>
      <c r="F21" t="s">
        <v>322</v>
      </c>
    </row>
    <row r="22" spans="1:6">
      <c r="A22" s="103" t="s">
        <v>326</v>
      </c>
      <c r="B22" s="72" t="s">
        <v>86</v>
      </c>
      <c r="C22" s="13">
        <v>1.54E-2</v>
      </c>
      <c r="D22" s="8" t="s">
        <v>126</v>
      </c>
      <c r="E22" s="35" t="s">
        <v>164</v>
      </c>
      <c r="F22" t="s">
        <v>323</v>
      </c>
    </row>
    <row r="23" spans="1:6" s="25" customFormat="1">
      <c r="A23" s="103" t="s">
        <v>327</v>
      </c>
      <c r="B23" s="72" t="s">
        <v>127</v>
      </c>
      <c r="C23" s="13">
        <v>5.77E-3</v>
      </c>
      <c r="D23" s="8" t="s">
        <v>138</v>
      </c>
      <c r="E23" s="35" t="s">
        <v>164</v>
      </c>
      <c r="F23" s="25" t="s">
        <v>323</v>
      </c>
    </row>
    <row r="24" spans="1:6">
      <c r="B24" s="6" t="s">
        <v>220</v>
      </c>
      <c r="C24" s="143">
        <v>15</v>
      </c>
      <c r="D24" s="8" t="s">
        <v>52</v>
      </c>
      <c r="E24" s="35" t="s">
        <v>24</v>
      </c>
    </row>
    <row r="25" spans="1:6">
      <c r="A25" s="70"/>
      <c r="B25" s="6" t="s">
        <v>221</v>
      </c>
      <c r="C25" s="141">
        <v>0.41</v>
      </c>
      <c r="D25" s="8" t="s">
        <v>13</v>
      </c>
      <c r="E25" s="12" t="s">
        <v>165</v>
      </c>
    </row>
    <row r="26" spans="1:6" s="42" customFormat="1" ht="25.5" customHeight="1">
      <c r="A26" s="102"/>
      <c r="B26" s="99" t="s">
        <v>28</v>
      </c>
      <c r="C26" s="101"/>
      <c r="D26" s="101"/>
      <c r="E26" s="101"/>
    </row>
    <row r="27" spans="1:6">
      <c r="A27" s="70"/>
      <c r="B27" s="6" t="s">
        <v>25</v>
      </c>
      <c r="C27" s="15">
        <v>0.17</v>
      </c>
      <c r="D27" s="8" t="s">
        <v>18</v>
      </c>
      <c r="E27" s="12" t="s">
        <v>244</v>
      </c>
    </row>
    <row r="28" spans="1:6">
      <c r="A28" s="70"/>
      <c r="B28" s="6" t="s">
        <v>30</v>
      </c>
      <c r="C28" s="15">
        <v>2</v>
      </c>
      <c r="D28" s="8" t="s">
        <v>18</v>
      </c>
      <c r="E28" s="12" t="s">
        <v>244</v>
      </c>
    </row>
    <row r="29" spans="1:6">
      <c r="A29" s="70"/>
      <c r="B29" s="6" t="s">
        <v>32</v>
      </c>
      <c r="C29" s="141">
        <v>0.2026</v>
      </c>
      <c r="D29" s="8" t="s">
        <v>31</v>
      </c>
      <c r="E29" s="12" t="s">
        <v>244</v>
      </c>
    </row>
    <row r="30" spans="1:6">
      <c r="A30" s="70"/>
      <c r="B30" s="6" t="s">
        <v>33</v>
      </c>
      <c r="C30" s="141">
        <v>4.2355999999999998</v>
      </c>
      <c r="D30" s="8" t="s">
        <v>34</v>
      </c>
      <c r="E30" s="12" t="s">
        <v>244</v>
      </c>
    </row>
    <row r="31" spans="1:6">
      <c r="A31" s="70"/>
      <c r="B31" s="6" t="s">
        <v>38</v>
      </c>
      <c r="C31" s="15">
        <v>0.5</v>
      </c>
      <c r="D31" s="8" t="s">
        <v>18</v>
      </c>
      <c r="E31" s="12" t="s">
        <v>244</v>
      </c>
    </row>
    <row r="32" spans="1:6">
      <c r="A32" s="70"/>
      <c r="B32" s="6" t="s">
        <v>68</v>
      </c>
      <c r="C32" s="143">
        <v>6</v>
      </c>
      <c r="D32" s="8" t="s">
        <v>52</v>
      </c>
      <c r="E32" s="12" t="s">
        <v>244</v>
      </c>
    </row>
    <row r="33" spans="1:5" s="42" customFormat="1" ht="25.5" customHeight="1">
      <c r="A33" s="102"/>
      <c r="B33" s="99" t="s">
        <v>228</v>
      </c>
      <c r="C33" s="101"/>
      <c r="D33" s="101"/>
      <c r="E33" s="101"/>
    </row>
    <row r="34" spans="1:5">
      <c r="A34" s="70"/>
      <c r="B34" s="6" t="s">
        <v>100</v>
      </c>
      <c r="C34" s="1">
        <v>4000</v>
      </c>
      <c r="D34" s="8" t="s">
        <v>47</v>
      </c>
      <c r="E34" s="12" t="s">
        <v>167</v>
      </c>
    </row>
    <row r="35" spans="1:5">
      <c r="A35" s="70"/>
      <c r="B35" s="6" t="s">
        <v>101</v>
      </c>
      <c r="C35" s="1">
        <v>4000</v>
      </c>
      <c r="D35" s="8" t="s">
        <v>47</v>
      </c>
      <c r="E35" s="12" t="s">
        <v>167</v>
      </c>
    </row>
    <row r="36" spans="1:5">
      <c r="A36" s="70"/>
      <c r="B36" s="6" t="s">
        <v>45</v>
      </c>
      <c r="C36" s="1">
        <v>6000</v>
      </c>
      <c r="D36" s="8" t="s">
        <v>47</v>
      </c>
      <c r="E36" s="12" t="s">
        <v>167</v>
      </c>
    </row>
    <row r="37" spans="1:5">
      <c r="A37" s="70"/>
      <c r="B37" s="6" t="s">
        <v>94</v>
      </c>
      <c r="C37" s="1">
        <v>4000</v>
      </c>
      <c r="D37" s="8" t="s">
        <v>47</v>
      </c>
      <c r="E37" s="12" t="s">
        <v>167</v>
      </c>
    </row>
    <row r="38" spans="1:5">
      <c r="A38" s="70"/>
      <c r="B38" s="6" t="s">
        <v>95</v>
      </c>
      <c r="C38" s="1">
        <v>500</v>
      </c>
      <c r="D38" s="8" t="s">
        <v>47</v>
      </c>
      <c r="E38" s="12" t="s">
        <v>168</v>
      </c>
    </row>
    <row r="39" spans="1:5">
      <c r="A39" s="70"/>
      <c r="B39" s="6" t="s">
        <v>96</v>
      </c>
      <c r="C39" s="1">
        <v>400</v>
      </c>
      <c r="D39" s="8" t="s">
        <v>47</v>
      </c>
      <c r="E39" s="12" t="s">
        <v>168</v>
      </c>
    </row>
    <row r="40" spans="1:5">
      <c r="A40" s="70"/>
      <c r="B40" s="6" t="s">
        <v>46</v>
      </c>
      <c r="C40" s="15">
        <v>0.2</v>
      </c>
      <c r="D40" s="8" t="s">
        <v>139</v>
      </c>
      <c r="E40" s="12" t="s">
        <v>167</v>
      </c>
    </row>
    <row r="41" spans="1:5">
      <c r="A41" s="70"/>
      <c r="B41" s="6" t="s">
        <v>222</v>
      </c>
      <c r="C41" s="1">
        <v>80</v>
      </c>
      <c r="D41" s="8" t="s">
        <v>141</v>
      </c>
      <c r="E41" s="12" t="s">
        <v>164</v>
      </c>
    </row>
    <row r="42" spans="1:5">
      <c r="A42" s="70"/>
      <c r="B42" s="6" t="s">
        <v>131</v>
      </c>
      <c r="C42" s="144">
        <v>0.1</v>
      </c>
      <c r="D42" s="8" t="s">
        <v>132</v>
      </c>
      <c r="E42" s="12" t="s">
        <v>164</v>
      </c>
    </row>
    <row r="43" spans="1:5" s="42" customFormat="1" ht="25.5" customHeight="1">
      <c r="A43" s="102"/>
      <c r="B43" s="99" t="s">
        <v>227</v>
      </c>
      <c r="C43" s="101"/>
      <c r="D43" s="101"/>
      <c r="E43" s="101"/>
    </row>
    <row r="44" spans="1:5">
      <c r="A44" s="70"/>
      <c r="B44" s="6" t="s">
        <v>58</v>
      </c>
      <c r="C44" s="143">
        <v>4</v>
      </c>
      <c r="D44" s="8" t="s">
        <v>52</v>
      </c>
      <c r="E44" s="12" t="s">
        <v>167</v>
      </c>
    </row>
    <row r="45" spans="1:5">
      <c r="A45" s="70"/>
      <c r="B45" s="6" t="s">
        <v>59</v>
      </c>
      <c r="C45" s="143">
        <v>10</v>
      </c>
      <c r="D45" s="8" t="s">
        <v>52</v>
      </c>
      <c r="E45" s="12" t="s">
        <v>167</v>
      </c>
    </row>
    <row r="46" spans="1:5">
      <c r="A46" s="70"/>
      <c r="B46" s="6" t="s">
        <v>98</v>
      </c>
      <c r="C46" s="142">
        <v>0.08</v>
      </c>
      <c r="D46" s="8" t="s">
        <v>105</v>
      </c>
      <c r="E46" s="12" t="s">
        <v>169</v>
      </c>
    </row>
    <row r="47" spans="1:5">
      <c r="A47" s="70"/>
      <c r="B47" s="6" t="s">
        <v>99</v>
      </c>
      <c r="C47" s="142">
        <v>0.08</v>
      </c>
      <c r="D47" s="8" t="s">
        <v>105</v>
      </c>
      <c r="E47" s="12" t="s">
        <v>169</v>
      </c>
    </row>
    <row r="48" spans="1:5">
      <c r="A48" s="70"/>
      <c r="B48" s="6" t="s">
        <v>1</v>
      </c>
      <c r="C48" s="142">
        <v>0.08</v>
      </c>
      <c r="D48" s="8" t="s">
        <v>105</v>
      </c>
      <c r="E48" s="12" t="s">
        <v>169</v>
      </c>
    </row>
    <row r="49" spans="1:5">
      <c r="A49" s="70"/>
      <c r="B49" s="6" t="s">
        <v>0</v>
      </c>
      <c r="C49" s="142">
        <v>0.17</v>
      </c>
      <c r="D49" s="8" t="s">
        <v>140</v>
      </c>
      <c r="E49" s="12" t="s">
        <v>169</v>
      </c>
    </row>
    <row r="50" spans="1:5">
      <c r="A50" s="70"/>
      <c r="B50" s="6" t="s">
        <v>43</v>
      </c>
      <c r="C50" s="142">
        <v>0.16</v>
      </c>
      <c r="D50" s="8" t="s">
        <v>105</v>
      </c>
      <c r="E50" s="12" t="s">
        <v>169</v>
      </c>
    </row>
    <row r="51" spans="1:5">
      <c r="A51" s="70"/>
      <c r="B51" s="6" t="s">
        <v>116</v>
      </c>
      <c r="C51" s="142">
        <v>0.28999999999999998</v>
      </c>
      <c r="D51" s="8" t="s">
        <v>104</v>
      </c>
      <c r="E51" s="12" t="s">
        <v>169</v>
      </c>
    </row>
    <row r="52" spans="1:5">
      <c r="A52" s="70"/>
      <c r="B52" s="6" t="s">
        <v>106</v>
      </c>
      <c r="C52" s="143">
        <v>12</v>
      </c>
      <c r="D52" s="8" t="s">
        <v>115</v>
      </c>
      <c r="E52" s="12" t="s">
        <v>168</v>
      </c>
    </row>
    <row r="53" spans="1:5">
      <c r="A53" s="70"/>
      <c r="B53" s="6" t="s">
        <v>107</v>
      </c>
      <c r="C53" s="15">
        <v>0.85</v>
      </c>
      <c r="D53" s="8" t="s">
        <v>18</v>
      </c>
      <c r="E53" s="12" t="s">
        <v>168</v>
      </c>
    </row>
    <row r="54" spans="1:5">
      <c r="A54" s="70"/>
      <c r="B54" s="6" t="s">
        <v>108</v>
      </c>
      <c r="C54" s="143">
        <v>4</v>
      </c>
      <c r="D54" s="8" t="s">
        <v>142</v>
      </c>
      <c r="E54" s="12" t="s">
        <v>167</v>
      </c>
    </row>
    <row r="55" spans="1:5">
      <c r="A55" s="70"/>
      <c r="B55" s="6" t="s">
        <v>109</v>
      </c>
      <c r="C55" s="15">
        <v>0.8</v>
      </c>
      <c r="D55" s="8" t="s">
        <v>18</v>
      </c>
      <c r="E55" s="12" t="s">
        <v>169</v>
      </c>
    </row>
    <row r="56" spans="1:5">
      <c r="A56" s="70"/>
      <c r="B56" s="6" t="s">
        <v>110</v>
      </c>
      <c r="C56" s="143">
        <v>10</v>
      </c>
      <c r="D56" s="8" t="s">
        <v>111</v>
      </c>
      <c r="E56" s="12" t="s">
        <v>169</v>
      </c>
    </row>
    <row r="57" spans="1:5">
      <c r="A57" s="70"/>
      <c r="B57" s="6" t="s">
        <v>112</v>
      </c>
      <c r="C57" s="143">
        <v>140</v>
      </c>
      <c r="D57" s="8" t="s">
        <v>7</v>
      </c>
      <c r="E57" s="12" t="s">
        <v>168</v>
      </c>
    </row>
    <row r="58" spans="1:5">
      <c r="A58" s="70"/>
      <c r="B58" s="6" t="s">
        <v>113</v>
      </c>
      <c r="C58" s="143">
        <v>100</v>
      </c>
      <c r="D58" s="8" t="s">
        <v>114</v>
      </c>
      <c r="E58" s="12" t="s">
        <v>168</v>
      </c>
    </row>
    <row r="59" spans="1:5">
      <c r="A59" s="70"/>
      <c r="B59" s="6" t="s">
        <v>124</v>
      </c>
      <c r="C59" s="143">
        <v>3</v>
      </c>
      <c r="D59" s="8" t="s">
        <v>11</v>
      </c>
      <c r="E59" s="12" t="s">
        <v>169</v>
      </c>
    </row>
    <row r="60" spans="1:5">
      <c r="A60" s="70"/>
      <c r="B60" s="6" t="s">
        <v>125</v>
      </c>
      <c r="C60" s="15">
        <v>0.5</v>
      </c>
      <c r="D60" s="8" t="s">
        <v>18</v>
      </c>
      <c r="E60" s="12" t="s">
        <v>167</v>
      </c>
    </row>
    <row r="61" spans="1:5">
      <c r="A61" s="70"/>
      <c r="B61" s="6" t="s">
        <v>163</v>
      </c>
      <c r="C61" s="143">
        <v>8</v>
      </c>
      <c r="D61" s="8" t="s">
        <v>11</v>
      </c>
      <c r="E61" s="12"/>
    </row>
    <row r="62" spans="1:5" s="42" customFormat="1" ht="25.5" customHeight="1">
      <c r="A62" s="102"/>
      <c r="B62" s="99" t="s">
        <v>223</v>
      </c>
      <c r="C62" s="101"/>
      <c r="D62" s="101"/>
      <c r="E62" s="101"/>
    </row>
    <row r="63" spans="1:5">
      <c r="A63" s="102">
        <v>5</v>
      </c>
      <c r="B63" s="32" t="s">
        <v>143</v>
      </c>
      <c r="C63" s="1">
        <v>22000</v>
      </c>
      <c r="D63" s="8" t="s">
        <v>44</v>
      </c>
      <c r="E63" s="12" t="s">
        <v>170</v>
      </c>
    </row>
    <row r="64" spans="1:5">
      <c r="A64" s="102">
        <v>10</v>
      </c>
      <c r="B64" s="32" t="s">
        <v>143</v>
      </c>
      <c r="C64" s="1">
        <v>32000</v>
      </c>
      <c r="D64" s="8" t="s">
        <v>44</v>
      </c>
      <c r="E64" s="12" t="s">
        <v>170</v>
      </c>
    </row>
    <row r="65" spans="1:5">
      <c r="A65" s="102">
        <v>15</v>
      </c>
      <c r="B65" s="32" t="s">
        <v>143</v>
      </c>
      <c r="C65" s="1">
        <v>48000</v>
      </c>
      <c r="D65" s="8" t="s">
        <v>44</v>
      </c>
      <c r="E65" s="12" t="s">
        <v>170</v>
      </c>
    </row>
    <row r="66" spans="1:5">
      <c r="A66" s="102">
        <v>20</v>
      </c>
      <c r="B66" s="32" t="s">
        <v>143</v>
      </c>
      <c r="C66" s="1">
        <v>70000</v>
      </c>
      <c r="D66" s="8" t="s">
        <v>44</v>
      </c>
      <c r="E66" s="12" t="s">
        <v>170</v>
      </c>
    </row>
    <row r="67" spans="1:5">
      <c r="A67" s="102">
        <v>5</v>
      </c>
      <c r="B67" s="32" t="s">
        <v>145</v>
      </c>
      <c r="C67" s="1">
        <v>7000</v>
      </c>
      <c r="D67" s="8" t="s">
        <v>44</v>
      </c>
      <c r="E67" s="12" t="s">
        <v>171</v>
      </c>
    </row>
    <row r="68" spans="1:5">
      <c r="A68" s="102">
        <v>10</v>
      </c>
      <c r="B68" s="32" t="s">
        <v>145</v>
      </c>
      <c r="C68" s="1">
        <v>10000</v>
      </c>
      <c r="D68" s="8" t="s">
        <v>44</v>
      </c>
      <c r="E68" s="12" t="s">
        <v>171</v>
      </c>
    </row>
    <row r="69" spans="1:5">
      <c r="A69" s="102">
        <v>15</v>
      </c>
      <c r="B69" s="32" t="s">
        <v>145</v>
      </c>
      <c r="C69" s="1">
        <v>15000</v>
      </c>
      <c r="D69" s="8" t="s">
        <v>44</v>
      </c>
      <c r="E69" s="12" t="s">
        <v>171</v>
      </c>
    </row>
    <row r="70" spans="1:5">
      <c r="A70" s="102">
        <v>20</v>
      </c>
      <c r="B70" s="32" t="s">
        <v>145</v>
      </c>
      <c r="C70" s="1">
        <v>23000</v>
      </c>
      <c r="D70" s="8" t="s">
        <v>44</v>
      </c>
      <c r="E70" s="12" t="s">
        <v>171</v>
      </c>
    </row>
    <row r="71" spans="1:5">
      <c r="A71" s="70" t="s">
        <v>205</v>
      </c>
      <c r="B71" s="32" t="s">
        <v>160</v>
      </c>
      <c r="C71" s="1">
        <v>1400</v>
      </c>
      <c r="D71" s="8" t="s">
        <v>134</v>
      </c>
      <c r="E71" s="12" t="s">
        <v>166</v>
      </c>
    </row>
    <row r="72" spans="1:5">
      <c r="A72" s="70" t="s">
        <v>206</v>
      </c>
      <c r="B72" s="32" t="s">
        <v>160</v>
      </c>
      <c r="C72" s="1">
        <v>1000</v>
      </c>
      <c r="D72" s="8" t="s">
        <v>134</v>
      </c>
      <c r="E72" s="12" t="s">
        <v>166</v>
      </c>
    </row>
    <row r="73" spans="1:5">
      <c r="A73" s="70" t="s">
        <v>207</v>
      </c>
      <c r="B73" s="32" t="s">
        <v>161</v>
      </c>
      <c r="C73" s="15">
        <v>1</v>
      </c>
      <c r="D73" s="8" t="s">
        <v>18</v>
      </c>
      <c r="E73" s="12" t="s">
        <v>166</v>
      </c>
    </row>
    <row r="74" spans="1:5">
      <c r="A74" s="70" t="s">
        <v>208</v>
      </c>
      <c r="B74" s="32" t="s">
        <v>161</v>
      </c>
      <c r="C74" s="15">
        <v>0.5</v>
      </c>
      <c r="D74" s="8" t="s">
        <v>18</v>
      </c>
      <c r="E74" s="12" t="s">
        <v>166</v>
      </c>
    </row>
    <row r="75" spans="1:5">
      <c r="A75" s="70"/>
      <c r="B75" s="6" t="s">
        <v>74</v>
      </c>
      <c r="C75" s="15">
        <v>0.04</v>
      </c>
      <c r="D75" s="8" t="s">
        <v>76</v>
      </c>
      <c r="E75" s="12" t="s">
        <v>172</v>
      </c>
    </row>
    <row r="76" spans="1:5">
      <c r="A76" s="70"/>
      <c r="B76" s="6" t="s">
        <v>75</v>
      </c>
      <c r="C76" s="15">
        <v>0.04</v>
      </c>
      <c r="D76" s="8" t="s">
        <v>76</v>
      </c>
      <c r="E76" s="12" t="s">
        <v>172</v>
      </c>
    </row>
    <row r="77" spans="1:5" s="42" customFormat="1" ht="25.5" customHeight="1">
      <c r="A77" s="102"/>
      <c r="B77" s="99" t="s">
        <v>224</v>
      </c>
      <c r="C77" s="100"/>
      <c r="D77" s="100"/>
      <c r="E77" s="100"/>
    </row>
    <row r="78" spans="1:5">
      <c r="A78" s="70"/>
      <c r="B78" s="6" t="s">
        <v>100</v>
      </c>
      <c r="C78" s="1">
        <v>2698</v>
      </c>
      <c r="D78" s="8" t="s">
        <v>225</v>
      </c>
      <c r="E78" s="12" t="s">
        <v>173</v>
      </c>
    </row>
    <row r="79" spans="1:5">
      <c r="A79" s="70"/>
      <c r="B79" s="6" t="s">
        <v>101</v>
      </c>
      <c r="C79" s="1">
        <v>2471</v>
      </c>
      <c r="D79" s="8" t="s">
        <v>225</v>
      </c>
      <c r="E79" s="12" t="s">
        <v>173</v>
      </c>
    </row>
    <row r="80" spans="1:5">
      <c r="A80" s="70"/>
      <c r="B80" s="6" t="s">
        <v>45</v>
      </c>
      <c r="C80" s="1">
        <v>1500</v>
      </c>
      <c r="D80" s="8" t="s">
        <v>47</v>
      </c>
      <c r="E80" s="12" t="s">
        <v>170</v>
      </c>
    </row>
    <row r="81" spans="1:5">
      <c r="A81" s="70"/>
      <c r="B81" s="6" t="s">
        <v>43</v>
      </c>
      <c r="C81" s="1">
        <v>1000</v>
      </c>
      <c r="D81" s="8" t="s">
        <v>47</v>
      </c>
      <c r="E81" s="12" t="s">
        <v>170</v>
      </c>
    </row>
    <row r="82" spans="1:5">
      <c r="A82" s="70"/>
      <c r="B82" s="6" t="s">
        <v>62</v>
      </c>
      <c r="C82" s="1">
        <v>387</v>
      </c>
      <c r="D82" s="8" t="s">
        <v>47</v>
      </c>
      <c r="E82" s="12" t="s">
        <v>174</v>
      </c>
    </row>
    <row r="83" spans="1:5">
      <c r="A83" s="70"/>
      <c r="B83" s="6" t="s">
        <v>63</v>
      </c>
      <c r="C83" s="1">
        <v>387</v>
      </c>
      <c r="D83" s="8" t="s">
        <v>47</v>
      </c>
      <c r="E83" s="12" t="s">
        <v>164</v>
      </c>
    </row>
    <row r="84" spans="1:5">
      <c r="A84" s="70"/>
      <c r="B84" s="6" t="s">
        <v>102</v>
      </c>
      <c r="C84" s="1">
        <v>200</v>
      </c>
      <c r="D84" s="8" t="s">
        <v>226</v>
      </c>
      <c r="E84" s="12" t="s">
        <v>166</v>
      </c>
    </row>
    <row r="85" spans="1:5">
      <c r="A85" s="70"/>
      <c r="B85" s="6" t="s">
        <v>103</v>
      </c>
      <c r="C85" s="1">
        <v>80</v>
      </c>
      <c r="D85" s="8" t="s">
        <v>47</v>
      </c>
      <c r="E85" s="12" t="s">
        <v>174</v>
      </c>
    </row>
    <row r="87" spans="1:5">
      <c r="B87" s="161" t="s">
        <v>297</v>
      </c>
      <c r="C87" s="13">
        <v>1.1023099999999999</v>
      </c>
      <c r="D87" s="162"/>
      <c r="E87" s="162"/>
    </row>
    <row r="88" spans="1:5">
      <c r="B88" s="161" t="s">
        <v>298</v>
      </c>
      <c r="C88" s="13">
        <v>1.161</v>
      </c>
      <c r="D88" s="162"/>
      <c r="E88" s="162"/>
    </row>
  </sheetData>
  <mergeCells count="1">
    <mergeCell ref="B7:E7"/>
  </mergeCells>
  <pageMargins left="0.7" right="0.7" top="0.75" bottom="0.75" header="0.3" footer="0.3"/>
  <pageSetup paperSize="9"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V251"/>
  <sheetViews>
    <sheetView showGridLines="0" topLeftCell="B128" zoomScale="120" zoomScaleNormal="120" zoomScalePageLayoutView="120" workbookViewId="0">
      <selection activeCell="F142" sqref="F142"/>
    </sheetView>
  </sheetViews>
  <sheetFormatPr defaultColWidth="8.875" defaultRowHeight="12" outlineLevelRow="1"/>
  <cols>
    <col min="1" max="1" width="9" style="3" customWidth="1"/>
    <col min="2" max="2" width="22.125" style="3" customWidth="1"/>
    <col min="3" max="3" width="42.625" style="3" bestFit="1" customWidth="1"/>
    <col min="4" max="4" width="18.375" style="3" customWidth="1"/>
    <col min="5" max="5" width="22.375" style="3" bestFit="1" customWidth="1"/>
    <col min="6" max="6" width="18" style="3" bestFit="1" customWidth="1"/>
    <col min="7" max="7" width="26.125" style="3" bestFit="1" customWidth="1"/>
    <col min="8" max="8" width="12.625" style="3" customWidth="1"/>
    <col min="9" max="9" width="13.375" style="3" customWidth="1"/>
    <col min="10" max="22" width="10.125" style="3" customWidth="1"/>
    <col min="23" max="16384" width="8.875" style="3"/>
  </cols>
  <sheetData>
    <row r="1" spans="1:19" customFormat="1" ht="14.25"/>
    <row r="2" spans="1:19" customFormat="1" ht="14.25"/>
    <row r="3" spans="1:19" customFormat="1" ht="14.25"/>
    <row r="4" spans="1:19" customFormat="1" ht="14.25"/>
    <row r="5" spans="1:19" customFormat="1" ht="23.25">
      <c r="B5" s="108" t="s">
        <v>243</v>
      </c>
      <c r="C5" s="108"/>
      <c r="D5" s="108"/>
      <c r="E5" s="108"/>
      <c r="F5" s="108"/>
      <c r="G5" s="108"/>
      <c r="H5" s="108"/>
      <c r="I5" s="108"/>
      <c r="J5" s="108"/>
      <c r="K5" s="108"/>
      <c r="L5" s="108"/>
      <c r="M5" s="108"/>
      <c r="N5" s="108"/>
      <c r="O5" s="108"/>
      <c r="P5" s="108"/>
      <c r="Q5" s="108"/>
      <c r="R5" s="108"/>
    </row>
    <row r="6" spans="1:19" customFormat="1" ht="14.25"/>
    <row r="7" spans="1:19" customFormat="1" ht="14.25">
      <c r="B7" s="123" t="s">
        <v>253</v>
      </c>
    </row>
    <row r="9" spans="1:19" s="113" customFormat="1" ht="22.5" customHeight="1">
      <c r="B9" s="112" t="s">
        <v>15</v>
      </c>
    </row>
    <row r="10" spans="1:19">
      <c r="A10" s="4" t="s">
        <v>8</v>
      </c>
      <c r="B10" s="4"/>
      <c r="D10" s="5"/>
      <c r="E10" s="5"/>
      <c r="F10" s="5"/>
      <c r="G10" s="5"/>
      <c r="H10" s="5"/>
      <c r="K10" s="5"/>
      <c r="L10" s="5"/>
      <c r="M10" s="5"/>
      <c r="N10" s="5"/>
      <c r="O10" s="5"/>
      <c r="P10" s="5"/>
      <c r="Q10" s="5"/>
    </row>
    <row r="11" spans="1:19" s="20" customFormat="1" ht="36">
      <c r="C11" s="3"/>
      <c r="D11" s="5"/>
      <c r="E11" s="21" t="s">
        <v>212</v>
      </c>
      <c r="F11" s="21" t="s">
        <v>213</v>
      </c>
      <c r="G11" s="21" t="s">
        <v>214</v>
      </c>
      <c r="H11" s="21" t="s">
        <v>209</v>
      </c>
      <c r="I11" s="21" t="s">
        <v>210</v>
      </c>
      <c r="J11" s="21" t="s">
        <v>211</v>
      </c>
      <c r="K11" s="21" t="s">
        <v>215</v>
      </c>
      <c r="L11" s="5"/>
      <c r="M11" s="5"/>
      <c r="N11" s="5"/>
      <c r="O11" s="5"/>
      <c r="P11" s="5"/>
      <c r="Q11" s="5"/>
      <c r="R11" s="3"/>
      <c r="S11" s="3"/>
    </row>
    <row r="12" spans="1:19">
      <c r="D12" s="5"/>
      <c r="E12" s="1" t="str">
        <f>VLOOKUP(DASHBOARD!F24,LIST!B4:D5,2,FALSE)</f>
        <v>R</v>
      </c>
      <c r="F12" s="1" t="str">
        <f>VLOOKUP(DASHBOARD!F22,LIST!E4:F5,2,FALSE)</f>
        <v>E</v>
      </c>
      <c r="G12" s="1" t="str">
        <f>VLOOKUP(DASHBOARD!F26,LIST!J4:L5,2,FALSE)</f>
        <v>NAA</v>
      </c>
      <c r="H12" s="145">
        <f>DASHBOARD!F14</f>
        <v>10</v>
      </c>
      <c r="I12" s="145">
        <f>DASHBOARD!F16</f>
        <v>10</v>
      </c>
      <c r="J12" s="145">
        <f>DASHBOARD!F20</f>
        <v>1</v>
      </c>
      <c r="K12" s="145">
        <f>DASHBOARD!F18</f>
        <v>0</v>
      </c>
      <c r="L12" s="5"/>
      <c r="M12" s="5"/>
      <c r="N12" s="5"/>
      <c r="O12" s="5"/>
      <c r="P12" s="5"/>
      <c r="Q12" s="5"/>
    </row>
    <row r="14" spans="1:19" s="113" customFormat="1" ht="22.5" customHeight="1">
      <c r="B14" s="112" t="s">
        <v>267</v>
      </c>
    </row>
    <row r="16" spans="1:19">
      <c r="C16" s="2"/>
      <c r="D16" s="7" t="s">
        <v>265</v>
      </c>
      <c r="E16" s="7" t="s">
        <v>10</v>
      </c>
      <c r="F16" s="7" t="s">
        <v>266</v>
      </c>
    </row>
    <row r="17" spans="2:12">
      <c r="C17" s="71" t="s">
        <v>12</v>
      </c>
      <c r="D17" s="74" t="s">
        <v>13</v>
      </c>
      <c r="E17" s="74" t="s">
        <v>11</v>
      </c>
      <c r="F17" s="74" t="s">
        <v>13</v>
      </c>
    </row>
    <row r="18" spans="2:12">
      <c r="B18" s="14"/>
      <c r="C18" s="71" t="s">
        <v>98</v>
      </c>
      <c r="D18" s="75">
        <f>DASHBOARD!P24</f>
        <v>5.0999999999999996</v>
      </c>
      <c r="E18" s="146">
        <f>H12</f>
        <v>10</v>
      </c>
      <c r="F18" s="76">
        <f>D18*E18</f>
        <v>51</v>
      </c>
      <c r="L18" s="24"/>
    </row>
    <row r="19" spans="2:12">
      <c r="B19" s="14"/>
      <c r="C19" s="71" t="s">
        <v>99</v>
      </c>
      <c r="D19" s="75">
        <f>DASHBOARD!P26</f>
        <v>3.5</v>
      </c>
      <c r="E19" s="146">
        <f>I12</f>
        <v>10</v>
      </c>
      <c r="F19" s="76">
        <f t="shared" ref="F19:F20" si="0">D19*E19</f>
        <v>35</v>
      </c>
      <c r="L19" s="24"/>
    </row>
    <row r="20" spans="2:12">
      <c r="B20" s="14"/>
      <c r="C20" s="71" t="s">
        <v>0</v>
      </c>
      <c r="D20" s="75">
        <f>DASHBOARD!P28</f>
        <v>13.3</v>
      </c>
      <c r="E20" s="146">
        <f>J12</f>
        <v>1</v>
      </c>
      <c r="F20" s="76">
        <f t="shared" si="0"/>
        <v>13.3</v>
      </c>
      <c r="L20" s="24"/>
    </row>
    <row r="21" spans="2:12">
      <c r="B21" s="14"/>
      <c r="C21" s="71" t="s">
        <v>43</v>
      </c>
      <c r="D21" s="75">
        <f>ASSUMPTIONS!C25</f>
        <v>0.41</v>
      </c>
      <c r="E21" s="146">
        <f>K12</f>
        <v>0</v>
      </c>
      <c r="F21" s="76">
        <f t="shared" ref="F21" si="1">D21*E21</f>
        <v>0</v>
      </c>
      <c r="L21" s="24"/>
    </row>
    <row r="22" spans="2:12">
      <c r="B22" s="14"/>
      <c r="C22" s="14"/>
      <c r="D22" s="14"/>
      <c r="E22" s="14"/>
      <c r="F22" s="14"/>
      <c r="G22" s="14"/>
      <c r="H22" s="14"/>
      <c r="I22" s="14"/>
      <c r="L22" s="24"/>
    </row>
    <row r="23" spans="2:12">
      <c r="B23" s="14"/>
      <c r="C23" s="72" t="s">
        <v>91</v>
      </c>
      <c r="D23" s="16"/>
      <c r="E23" s="16"/>
      <c r="F23" s="76">
        <f>SUM(F18:F21)</f>
        <v>99.3</v>
      </c>
      <c r="G23" s="74" t="str">
        <f>F17</f>
        <v>cf/h</v>
      </c>
      <c r="H23" s="10"/>
      <c r="L23" s="24"/>
    </row>
    <row r="24" spans="2:12">
      <c r="C24" s="73" t="s">
        <v>91</v>
      </c>
      <c r="D24" s="9"/>
      <c r="E24" s="9"/>
      <c r="F24" s="77">
        <f>F23*Number_Hours*Number_Days/1000</f>
        <v>869.86799999999994</v>
      </c>
      <c r="G24" s="78" t="s">
        <v>254</v>
      </c>
      <c r="H24" s="10"/>
      <c r="L24" s="24"/>
    </row>
    <row r="25" spans="2:12">
      <c r="B25" s="70" t="str">
        <f>C25&amp;"-"&amp;$G$12</f>
        <v>Share methane in the Gas-NAA</v>
      </c>
      <c r="C25" s="72" t="s">
        <v>86</v>
      </c>
      <c r="D25" s="16"/>
      <c r="E25" s="16"/>
      <c r="F25" s="79">
        <f>VLOOKUP(B25,ASSUMPTIONS!$A$20:$C$23,3,FALSE)</f>
        <v>1.54E-2</v>
      </c>
      <c r="G25" s="74" t="s">
        <v>126</v>
      </c>
      <c r="H25" s="10"/>
      <c r="L25" s="24"/>
    </row>
    <row r="26" spans="2:12">
      <c r="B26" s="70" t="str">
        <f>C26&amp;"-"&amp;$G$12</f>
        <v>Share of VOC in the gas-NAA</v>
      </c>
      <c r="C26" s="72" t="s">
        <v>127</v>
      </c>
      <c r="D26" s="16"/>
      <c r="E26" s="16"/>
      <c r="F26" s="79">
        <f>VLOOKUP(B26,ASSUMPTIONS!$A$20:$C$23,3,FALSE)</f>
        <v>5.77E-3</v>
      </c>
      <c r="G26" s="74" t="s">
        <v>138</v>
      </c>
      <c r="H26" s="10"/>
      <c r="L26" s="24"/>
    </row>
    <row r="27" spans="2:12">
      <c r="C27" s="73" t="s">
        <v>199</v>
      </c>
      <c r="D27" s="9"/>
      <c r="E27" s="9"/>
      <c r="F27" s="97">
        <f>F24*F25</f>
        <v>13.395967199999999</v>
      </c>
      <c r="G27" s="78" t="s">
        <v>200</v>
      </c>
      <c r="H27" s="10"/>
      <c r="L27" s="24"/>
    </row>
    <row r="29" spans="2:12" s="113" customFormat="1" ht="22.5" customHeight="1">
      <c r="B29" s="112" t="s">
        <v>217</v>
      </c>
    </row>
    <row r="31" spans="2:12">
      <c r="B31" s="98" t="s">
        <v>216</v>
      </c>
    </row>
    <row r="32" spans="2:12">
      <c r="D32" s="7" t="s">
        <v>265</v>
      </c>
      <c r="E32" s="7" t="s">
        <v>10</v>
      </c>
      <c r="F32" s="7" t="s">
        <v>266</v>
      </c>
    </row>
    <row r="33" spans="2:8">
      <c r="B33" s="3" t="s">
        <v>69</v>
      </c>
      <c r="D33" s="74" t="s">
        <v>13</v>
      </c>
      <c r="E33" s="74" t="s">
        <v>11</v>
      </c>
      <c r="F33" s="74" t="s">
        <v>13</v>
      </c>
    </row>
    <row r="34" spans="2:8">
      <c r="C34" s="71" t="s">
        <v>43</v>
      </c>
      <c r="D34" s="75">
        <f>D21</f>
        <v>0.41</v>
      </c>
      <c r="E34" s="75">
        <f>E21</f>
        <v>0</v>
      </c>
      <c r="F34" s="75">
        <f>F21</f>
        <v>0</v>
      </c>
    </row>
    <row r="36" spans="2:8">
      <c r="C36" s="72" t="s">
        <v>91</v>
      </c>
      <c r="D36" s="16"/>
      <c r="E36" s="16"/>
      <c r="F36" s="76">
        <f>SUM(F34:F34)</f>
        <v>0</v>
      </c>
      <c r="G36" s="74" t="str">
        <f>G23</f>
        <v>cf/h</v>
      </c>
      <c r="H36" s="10"/>
    </row>
    <row r="37" spans="2:8">
      <c r="C37" s="72" t="s">
        <v>91</v>
      </c>
      <c r="D37" s="16"/>
      <c r="E37" s="16"/>
      <c r="F37" s="76">
        <f>F36*Number_Hours*Number_Days/1000</f>
        <v>0</v>
      </c>
      <c r="G37" s="74" t="s">
        <v>42</v>
      </c>
      <c r="H37" s="10"/>
    </row>
    <row r="38" spans="2:8">
      <c r="C38" s="72" t="s">
        <v>199</v>
      </c>
      <c r="D38" s="9"/>
      <c r="E38" s="9"/>
      <c r="F38" s="80">
        <f>F37*F25</f>
        <v>0</v>
      </c>
      <c r="G38" s="74" t="s">
        <v>146</v>
      </c>
      <c r="H38" s="10"/>
    </row>
    <row r="41" spans="2:8" s="113" customFormat="1" ht="22.5" customHeight="1">
      <c r="B41" s="112" t="s">
        <v>229</v>
      </c>
    </row>
    <row r="43" spans="2:8">
      <c r="B43" s="17" t="s">
        <v>219</v>
      </c>
    </row>
    <row r="44" spans="2:8">
      <c r="D44" s="7" t="s">
        <v>10</v>
      </c>
      <c r="E44" s="7" t="s">
        <v>268</v>
      </c>
      <c r="F44" s="7" t="s">
        <v>269</v>
      </c>
    </row>
    <row r="45" spans="2:8">
      <c r="C45" s="71" t="s">
        <v>12</v>
      </c>
      <c r="D45" s="74" t="s">
        <v>11</v>
      </c>
      <c r="E45" s="74" t="s">
        <v>117</v>
      </c>
      <c r="F45" s="74" t="s">
        <v>117</v>
      </c>
    </row>
    <row r="46" spans="2:8">
      <c r="C46" s="71" t="s">
        <v>98</v>
      </c>
      <c r="D46" s="83">
        <f>E18</f>
        <v>10</v>
      </c>
      <c r="E46" s="75">
        <f>ASSUMPTIONS!C46</f>
        <v>0.08</v>
      </c>
      <c r="F46" s="75">
        <f>D46*E46</f>
        <v>0.8</v>
      </c>
    </row>
    <row r="47" spans="2:8">
      <c r="C47" s="71" t="s">
        <v>99</v>
      </c>
      <c r="D47" s="83">
        <f>E19</f>
        <v>10</v>
      </c>
      <c r="E47" s="75">
        <f>ASSUMPTIONS!C47</f>
        <v>0.08</v>
      </c>
      <c r="F47" s="75">
        <f t="shared" ref="F47:F50" si="2">D47*E47</f>
        <v>0.8</v>
      </c>
    </row>
    <row r="48" spans="2:8">
      <c r="C48" s="71" t="s">
        <v>0</v>
      </c>
      <c r="D48" s="83">
        <f>E20</f>
        <v>1</v>
      </c>
      <c r="E48" s="75">
        <f>ASSUMPTIONS!C49</f>
        <v>0.17</v>
      </c>
      <c r="F48" s="75">
        <f t="shared" si="2"/>
        <v>0.17</v>
      </c>
    </row>
    <row r="49" spans="3:6">
      <c r="C49" s="71" t="s">
        <v>43</v>
      </c>
      <c r="D49" s="83">
        <v>0</v>
      </c>
      <c r="E49" s="75">
        <f>ASSUMPTIONS!C50</f>
        <v>0.16</v>
      </c>
      <c r="F49" s="75">
        <f t="shared" si="2"/>
        <v>0</v>
      </c>
    </row>
    <row r="50" spans="3:6">
      <c r="C50" s="71" t="s">
        <v>118</v>
      </c>
      <c r="D50" s="83">
        <v>1</v>
      </c>
      <c r="E50" s="75">
        <f>ASSUMPTIONS!C51</f>
        <v>0.28999999999999998</v>
      </c>
      <c r="F50" s="75">
        <f t="shared" si="2"/>
        <v>0.28999999999999998</v>
      </c>
    </row>
    <row r="51" spans="3:6">
      <c r="C51" s="73" t="s">
        <v>51</v>
      </c>
      <c r="D51" s="16"/>
      <c r="E51" s="16"/>
      <c r="F51" s="81">
        <f>SUM(F46:F50)</f>
        <v>2.06</v>
      </c>
    </row>
    <row r="53" spans="3:6">
      <c r="C53" s="2" t="s">
        <v>286</v>
      </c>
    </row>
    <row r="54" spans="3:6">
      <c r="C54" s="71" t="str">
        <f>ASSUMPTIONS!B52</f>
        <v>System Voltage</v>
      </c>
      <c r="D54" s="75">
        <f>ASSUMPTIONS!C52</f>
        <v>12</v>
      </c>
      <c r="E54" s="74" t="str">
        <f>ASSUMPTIONS!D52</f>
        <v>V</v>
      </c>
    </row>
    <row r="55" spans="3:6">
      <c r="C55" s="71" t="str">
        <f>ASSUMPTIONS!B53</f>
        <v>Battery Average Efficiency</v>
      </c>
      <c r="D55" s="82">
        <f>ASSUMPTIONS!C53</f>
        <v>0.85</v>
      </c>
      <c r="E55" s="74" t="str">
        <f>ASSUMPTIONS!D53</f>
        <v>%</v>
      </c>
    </row>
    <row r="56" spans="3:6">
      <c r="C56" s="71" t="str">
        <f>ASSUMPTIONS!B54</f>
        <v>Avg. Peak Sun</v>
      </c>
      <c r="D56" s="75">
        <f>ASSUMPTIONS!C54</f>
        <v>4</v>
      </c>
      <c r="E56" s="74" t="str">
        <f>ASSUMPTIONS!D54</f>
        <v>h/days</v>
      </c>
    </row>
    <row r="57" spans="3:6">
      <c r="C57" s="71" t="str">
        <f>ASSUMPTIONS!B55</f>
        <v>At Maximum Depth of Discharge</v>
      </c>
      <c r="D57" s="82">
        <f>ASSUMPTIONS!C55</f>
        <v>0.8</v>
      </c>
      <c r="E57" s="74" t="str">
        <f>ASSUMPTIONS!D55</f>
        <v>%</v>
      </c>
    </row>
    <row r="58" spans="3:6">
      <c r="C58" s="71" t="str">
        <f>ASSUMPTIONS!B56</f>
        <v>Days of Energy Storage</v>
      </c>
      <c r="D58" s="75">
        <f>ASSUMPTIONS!C56</f>
        <v>10</v>
      </c>
      <c r="E58" s="74" t="str">
        <f>ASSUMPTIONS!D56</f>
        <v>days</v>
      </c>
    </row>
    <row r="59" spans="3:6">
      <c r="C59" s="71" t="str">
        <f>ASSUMPTIONS!B57</f>
        <v>Rating of the solar panel</v>
      </c>
      <c r="D59" s="75">
        <f>ASSUMPTIONS!C57</f>
        <v>140</v>
      </c>
      <c r="E59" s="74" t="str">
        <f>ASSUMPTIONS!D57</f>
        <v>W</v>
      </c>
    </row>
    <row r="60" spans="3:6">
      <c r="C60" s="71" t="str">
        <f>ASSUMPTIONS!B58</f>
        <v>Rating of the battery</v>
      </c>
      <c r="D60" s="75">
        <f>ASSUMPTIONS!C58</f>
        <v>100</v>
      </c>
      <c r="E60" s="74" t="str">
        <f>ASSUMPTIONS!D58</f>
        <v>Ah</v>
      </c>
    </row>
    <row r="62" spans="3:6">
      <c r="C62" s="2" t="s">
        <v>287</v>
      </c>
    </row>
    <row r="63" spans="3:6">
      <c r="C63" s="71" t="s">
        <v>119</v>
      </c>
      <c r="D63" s="83">
        <f>F51*D54*Number_Hours</f>
        <v>593.28</v>
      </c>
      <c r="E63" s="74" t="s">
        <v>128</v>
      </c>
    </row>
    <row r="64" spans="3:6">
      <c r="C64" s="71" t="s">
        <v>121</v>
      </c>
      <c r="D64" s="83">
        <f>D63/D55</f>
        <v>697.97647058823532</v>
      </c>
      <c r="E64" s="74" t="s">
        <v>120</v>
      </c>
    </row>
    <row r="65" spans="2:10">
      <c r="C65" s="71" t="s">
        <v>122</v>
      </c>
      <c r="D65" s="83">
        <f>D64/D56*(1+ASSUMPTIONS!$C$60)</f>
        <v>261.74117647058824</v>
      </c>
      <c r="E65" s="74" t="s">
        <v>7</v>
      </c>
    </row>
    <row r="66" spans="2:10">
      <c r="C66" s="71" t="s">
        <v>123</v>
      </c>
      <c r="D66" s="83">
        <f>F51*Number_Hours*D58/D57</f>
        <v>617.99999999999989</v>
      </c>
      <c r="E66" s="74" t="s">
        <v>114</v>
      </c>
    </row>
    <row r="67" spans="2:10">
      <c r="C67" s="71" t="s">
        <v>130</v>
      </c>
      <c r="D67" s="83">
        <f>IF(F12="E",D63*Number_Days/1000,0)</f>
        <v>216.54719999999998</v>
      </c>
      <c r="E67" s="74" t="s">
        <v>133</v>
      </c>
    </row>
    <row r="70" spans="2:10">
      <c r="B70" s="17" t="s">
        <v>53</v>
      </c>
    </row>
    <row r="71" spans="2:10">
      <c r="D71" s="7" t="s">
        <v>48</v>
      </c>
      <c r="E71" s="7" t="s">
        <v>270</v>
      </c>
      <c r="F71" s="7" t="s">
        <v>51</v>
      </c>
    </row>
    <row r="72" spans="2:10">
      <c r="D72" s="74" t="s">
        <v>49</v>
      </c>
      <c r="E72" s="74" t="s">
        <v>11</v>
      </c>
      <c r="F72" s="74" t="s">
        <v>44</v>
      </c>
    </row>
    <row r="73" spans="2:10">
      <c r="C73" s="71" t="s">
        <v>98</v>
      </c>
      <c r="D73" s="83">
        <f>ASSUMPTIONS!C34</f>
        <v>4000</v>
      </c>
      <c r="E73" s="83">
        <f>D46</f>
        <v>10</v>
      </c>
      <c r="F73" s="84">
        <f>D73*E73</f>
        <v>40000</v>
      </c>
    </row>
    <row r="74" spans="2:10">
      <c r="C74" s="71" t="s">
        <v>99</v>
      </c>
      <c r="D74" s="83">
        <f>ASSUMPTIONS!C35</f>
        <v>4000</v>
      </c>
      <c r="E74" s="83">
        <f>D47</f>
        <v>10</v>
      </c>
      <c r="F74" s="84">
        <f t="shared" ref="F74:F77" si="3">D74*E74</f>
        <v>40000</v>
      </c>
    </row>
    <row r="75" spans="2:10">
      <c r="C75" s="71" t="s">
        <v>45</v>
      </c>
      <c r="D75" s="83">
        <f>ASSUMPTIONS!C36</f>
        <v>6000</v>
      </c>
      <c r="E75" s="83">
        <f>D48</f>
        <v>1</v>
      </c>
      <c r="F75" s="84">
        <f t="shared" si="3"/>
        <v>6000</v>
      </c>
    </row>
    <row r="76" spans="2:10">
      <c r="B76" s="14"/>
      <c r="C76" s="71" t="s">
        <v>94</v>
      </c>
      <c r="D76" s="83">
        <f>ASSUMPTIONS!C37</f>
        <v>4000</v>
      </c>
      <c r="E76" s="83">
        <v>1</v>
      </c>
      <c r="F76" s="84">
        <f>D76*E76</f>
        <v>4000</v>
      </c>
    </row>
    <row r="77" spans="2:10">
      <c r="B77" s="14"/>
      <c r="C77" s="71" t="s">
        <v>271</v>
      </c>
      <c r="D77" s="83">
        <f>IF(F12="NE",ASSUMPTIONS!C38,0)</f>
        <v>0</v>
      </c>
      <c r="E77" s="83">
        <f>ROUNDUP(D65/D59,0)</f>
        <v>2</v>
      </c>
      <c r="F77" s="84">
        <f t="shared" si="3"/>
        <v>0</v>
      </c>
      <c r="H77" s="158">
        <f>IF(AND(D77&gt;0,OR(E77&gt;3,E78&gt;8)),1,0)</f>
        <v>0</v>
      </c>
      <c r="I77" s="154"/>
      <c r="J77" s="154">
        <f>D77*3+D78*8</f>
        <v>0</v>
      </c>
    </row>
    <row r="78" spans="2:10">
      <c r="B78" s="14"/>
      <c r="C78" s="71" t="s">
        <v>272</v>
      </c>
      <c r="D78" s="83">
        <f>IF(F12="NE",ASSUMPTIONS!C39,0)</f>
        <v>0</v>
      </c>
      <c r="E78" s="83">
        <f>ROUNDUP(D66/D60,0)</f>
        <v>7</v>
      </c>
      <c r="F78" s="84">
        <f>D78*E78</f>
        <v>0</v>
      </c>
    </row>
    <row r="79" spans="2:10">
      <c r="B79" s="14"/>
      <c r="C79" s="71" t="s">
        <v>274</v>
      </c>
      <c r="D79" s="83">
        <f>D101</f>
        <v>0</v>
      </c>
      <c r="E79" s="83">
        <f>D49</f>
        <v>0</v>
      </c>
      <c r="F79" s="84">
        <f>F101</f>
        <v>0</v>
      </c>
    </row>
    <row r="80" spans="2:10">
      <c r="B80" s="14"/>
      <c r="C80" s="71" t="s">
        <v>273</v>
      </c>
      <c r="D80" s="83">
        <f>D102</f>
        <v>0</v>
      </c>
      <c r="E80" s="83">
        <f>E79</f>
        <v>0</v>
      </c>
      <c r="F80" s="84">
        <f>E80*D80</f>
        <v>0</v>
      </c>
    </row>
    <row r="81" spans="2:22">
      <c r="B81" s="14"/>
      <c r="C81" s="71" t="s">
        <v>46</v>
      </c>
      <c r="E81" s="82">
        <f>ASSUMPTIONS!C40</f>
        <v>0.2</v>
      </c>
      <c r="F81" s="84">
        <f>SUM(F73:F78)*E81</f>
        <v>18000</v>
      </c>
    </row>
    <row r="82" spans="2:22">
      <c r="C82" s="73" t="s">
        <v>175</v>
      </c>
      <c r="F82" s="90">
        <f>SUM(F73:F81)</f>
        <v>108000</v>
      </c>
      <c r="G82" s="28"/>
    </row>
    <row r="83" spans="2:22" ht="32.25" customHeight="1">
      <c r="G83" s="155" t="s">
        <v>276</v>
      </c>
    </row>
    <row r="84" spans="2:22">
      <c r="F84" s="11"/>
    </row>
    <row r="85" spans="2:22">
      <c r="B85" s="17" t="s">
        <v>54</v>
      </c>
      <c r="D85" s="7" t="s">
        <v>48</v>
      </c>
      <c r="E85" s="7" t="s">
        <v>57</v>
      </c>
      <c r="F85" s="11"/>
      <c r="G85" s="157">
        <v>0</v>
      </c>
      <c r="H85" s="157">
        <v>1</v>
      </c>
      <c r="I85" s="157">
        <v>2</v>
      </c>
      <c r="J85" s="157">
        <v>3</v>
      </c>
      <c r="K85" s="157">
        <v>4</v>
      </c>
      <c r="L85" s="157">
        <v>5</v>
      </c>
      <c r="M85" s="157">
        <v>6</v>
      </c>
      <c r="N85" s="157">
        <v>7</v>
      </c>
      <c r="O85" s="157">
        <v>8</v>
      </c>
      <c r="P85" s="157">
        <v>9</v>
      </c>
      <c r="Q85" s="157">
        <v>10</v>
      </c>
      <c r="R85" s="157">
        <v>11</v>
      </c>
      <c r="S85" s="157">
        <v>12</v>
      </c>
      <c r="T85" s="157">
        <v>13</v>
      </c>
      <c r="U85" s="157">
        <v>14</v>
      </c>
      <c r="V85" s="157">
        <v>15</v>
      </c>
    </row>
    <row r="86" spans="2:22">
      <c r="D86" s="86" t="s">
        <v>47</v>
      </c>
      <c r="E86" s="95" t="s">
        <v>279</v>
      </c>
      <c r="F86" s="11"/>
      <c r="G86" s="74" t="s">
        <v>44</v>
      </c>
      <c r="H86" s="74" t="s">
        <v>44</v>
      </c>
      <c r="I86" s="74" t="s">
        <v>44</v>
      </c>
      <c r="J86" s="74" t="s">
        <v>44</v>
      </c>
      <c r="K86" s="74" t="s">
        <v>44</v>
      </c>
      <c r="L86" s="74" t="s">
        <v>44</v>
      </c>
      <c r="M86" s="74" t="s">
        <v>44</v>
      </c>
      <c r="N86" s="74" t="s">
        <v>44</v>
      </c>
      <c r="O86" s="74" t="s">
        <v>44</v>
      </c>
      <c r="P86" s="74" t="s">
        <v>44</v>
      </c>
      <c r="Q86" s="74" t="s">
        <v>44</v>
      </c>
      <c r="R86" s="74" t="s">
        <v>44</v>
      </c>
      <c r="S86" s="74" t="s">
        <v>44</v>
      </c>
      <c r="T86" s="74" t="s">
        <v>44</v>
      </c>
      <c r="U86" s="74" t="s">
        <v>44</v>
      </c>
      <c r="V86" s="74" t="s">
        <v>44</v>
      </c>
    </row>
    <row r="87" spans="2:22">
      <c r="B87" s="14"/>
      <c r="C87" s="71" t="s">
        <v>55</v>
      </c>
      <c r="D87" s="87">
        <f>F78</f>
        <v>0</v>
      </c>
      <c r="E87" s="84">
        <f>ASSUMPTIONS!C44</f>
        <v>4</v>
      </c>
      <c r="F87" s="11"/>
      <c r="G87" s="83">
        <v>0</v>
      </c>
      <c r="H87" s="83">
        <f>IF(H$85/$E87=ROUNDDOWN(H$85/$E87,0),$D87,0)</f>
        <v>0</v>
      </c>
      <c r="I87" s="83">
        <f t="shared" ref="I87:V88" si="4">IF(I$85/$E87=ROUNDDOWN(I$85/$E87,0),$D87,0)</f>
        <v>0</v>
      </c>
      <c r="J87" s="83">
        <f t="shared" si="4"/>
        <v>0</v>
      </c>
      <c r="K87" s="83">
        <f t="shared" si="4"/>
        <v>0</v>
      </c>
      <c r="L87" s="83">
        <f t="shared" si="4"/>
        <v>0</v>
      </c>
      <c r="M87" s="83">
        <f t="shared" si="4"/>
        <v>0</v>
      </c>
      <c r="N87" s="83">
        <f t="shared" si="4"/>
        <v>0</v>
      </c>
      <c r="O87" s="83">
        <f t="shared" si="4"/>
        <v>0</v>
      </c>
      <c r="P87" s="83">
        <f t="shared" si="4"/>
        <v>0</v>
      </c>
      <c r="Q87" s="83">
        <f t="shared" si="4"/>
        <v>0</v>
      </c>
      <c r="R87" s="83">
        <f t="shared" si="4"/>
        <v>0</v>
      </c>
      <c r="S87" s="83">
        <f t="shared" si="4"/>
        <v>0</v>
      </c>
      <c r="T87" s="83">
        <f t="shared" si="4"/>
        <v>0</v>
      </c>
      <c r="U87" s="83">
        <f t="shared" si="4"/>
        <v>0</v>
      </c>
      <c r="V87" s="83">
        <f t="shared" si="4"/>
        <v>0</v>
      </c>
    </row>
    <row r="88" spans="2:22">
      <c r="B88" s="14"/>
      <c r="C88" s="71" t="s">
        <v>56</v>
      </c>
      <c r="D88" s="87">
        <f>F77</f>
        <v>0</v>
      </c>
      <c r="E88" s="84">
        <f>ASSUMPTIONS!C45</f>
        <v>10</v>
      </c>
      <c r="F88" s="11"/>
      <c r="G88" s="83"/>
      <c r="H88" s="83">
        <f>IF(H$85/$E88=ROUNDDOWN(H$85/$E88,0),$D88,0)</f>
        <v>0</v>
      </c>
      <c r="I88" s="83">
        <f t="shared" si="4"/>
        <v>0</v>
      </c>
      <c r="J88" s="83">
        <f t="shared" si="4"/>
        <v>0</v>
      </c>
      <c r="K88" s="83">
        <f t="shared" si="4"/>
        <v>0</v>
      </c>
      <c r="L88" s="83">
        <f t="shared" si="4"/>
        <v>0</v>
      </c>
      <c r="M88" s="83">
        <f t="shared" si="4"/>
        <v>0</v>
      </c>
      <c r="N88" s="83">
        <f t="shared" si="4"/>
        <v>0</v>
      </c>
      <c r="O88" s="83">
        <f t="shared" si="4"/>
        <v>0</v>
      </c>
      <c r="P88" s="83">
        <f t="shared" si="4"/>
        <v>0</v>
      </c>
      <c r="Q88" s="83">
        <f t="shared" si="4"/>
        <v>0</v>
      </c>
      <c r="R88" s="83">
        <f t="shared" si="4"/>
        <v>0</v>
      </c>
      <c r="S88" s="83">
        <f t="shared" si="4"/>
        <v>0</v>
      </c>
      <c r="T88" s="83">
        <f t="shared" si="4"/>
        <v>0</v>
      </c>
      <c r="U88" s="83">
        <f t="shared" si="4"/>
        <v>0</v>
      </c>
      <c r="V88" s="83">
        <f t="shared" si="4"/>
        <v>0</v>
      </c>
    </row>
    <row r="89" spans="2:22">
      <c r="B89" s="14"/>
      <c r="C89" s="71" t="s">
        <v>72</v>
      </c>
      <c r="D89" s="88">
        <f>D67*ASSUMPTIONS!C42</f>
        <v>21.654719999999998</v>
      </c>
      <c r="E89" s="84">
        <v>1</v>
      </c>
      <c r="F89" s="11"/>
      <c r="G89" s="83">
        <f>$D$89</f>
        <v>21.654719999999998</v>
      </c>
      <c r="H89" s="83">
        <f t="shared" ref="H89:V89" si="5">$D$89</f>
        <v>21.654719999999998</v>
      </c>
      <c r="I89" s="83">
        <f t="shared" si="5"/>
        <v>21.654719999999998</v>
      </c>
      <c r="J89" s="83">
        <f t="shared" si="5"/>
        <v>21.654719999999998</v>
      </c>
      <c r="K89" s="83">
        <f t="shared" si="5"/>
        <v>21.654719999999998</v>
      </c>
      <c r="L89" s="83">
        <f t="shared" si="5"/>
        <v>21.654719999999998</v>
      </c>
      <c r="M89" s="83">
        <f t="shared" si="5"/>
        <v>21.654719999999998</v>
      </c>
      <c r="N89" s="83">
        <f t="shared" si="5"/>
        <v>21.654719999999998</v>
      </c>
      <c r="O89" s="83">
        <f t="shared" si="5"/>
        <v>21.654719999999998</v>
      </c>
      <c r="P89" s="83">
        <f t="shared" si="5"/>
        <v>21.654719999999998</v>
      </c>
      <c r="Q89" s="83">
        <f t="shared" si="5"/>
        <v>21.654719999999998</v>
      </c>
      <c r="R89" s="83">
        <f t="shared" si="5"/>
        <v>21.654719999999998</v>
      </c>
      <c r="S89" s="83">
        <f t="shared" si="5"/>
        <v>21.654719999999998</v>
      </c>
      <c r="T89" s="83">
        <f t="shared" si="5"/>
        <v>21.654719999999998</v>
      </c>
      <c r="U89" s="83">
        <f t="shared" si="5"/>
        <v>21.654719999999998</v>
      </c>
      <c r="V89" s="83">
        <f t="shared" si="5"/>
        <v>21.654719999999998</v>
      </c>
    </row>
    <row r="90" spans="2:22">
      <c r="B90" s="14"/>
      <c r="C90" s="71" t="s">
        <v>129</v>
      </c>
      <c r="D90" s="87">
        <f>ASSUMPTIONS!C41*SUM(E73:E75)</f>
        <v>1680</v>
      </c>
      <c r="E90" s="84">
        <v>1</v>
      </c>
      <c r="F90" s="11"/>
      <c r="G90" s="83"/>
      <c r="H90" s="83">
        <f>$D$90</f>
        <v>1680</v>
      </c>
      <c r="I90" s="83">
        <f t="shared" ref="I90:V90" si="6">$D$90</f>
        <v>1680</v>
      </c>
      <c r="J90" s="83">
        <f t="shared" si="6"/>
        <v>1680</v>
      </c>
      <c r="K90" s="83">
        <f t="shared" si="6"/>
        <v>1680</v>
      </c>
      <c r="L90" s="83">
        <f t="shared" si="6"/>
        <v>1680</v>
      </c>
      <c r="M90" s="83">
        <f t="shared" si="6"/>
        <v>1680</v>
      </c>
      <c r="N90" s="83">
        <f t="shared" si="6"/>
        <v>1680</v>
      </c>
      <c r="O90" s="83">
        <f t="shared" si="6"/>
        <v>1680</v>
      </c>
      <c r="P90" s="83">
        <f t="shared" si="6"/>
        <v>1680</v>
      </c>
      <c r="Q90" s="83">
        <f t="shared" si="6"/>
        <v>1680</v>
      </c>
      <c r="R90" s="83">
        <f t="shared" si="6"/>
        <v>1680</v>
      </c>
      <c r="S90" s="83">
        <f t="shared" si="6"/>
        <v>1680</v>
      </c>
      <c r="T90" s="83">
        <f t="shared" si="6"/>
        <v>1680</v>
      </c>
      <c r="U90" s="83">
        <f t="shared" si="6"/>
        <v>1680</v>
      </c>
      <c r="V90" s="83">
        <f t="shared" si="6"/>
        <v>1680</v>
      </c>
    </row>
    <row r="91" spans="2:22">
      <c r="C91" s="73" t="s">
        <v>60</v>
      </c>
      <c r="F91" s="11"/>
      <c r="G91" s="77">
        <f>SUM(G87:G90)</f>
        <v>21.654719999999998</v>
      </c>
      <c r="H91" s="77">
        <f t="shared" ref="H91:V91" si="7">SUM(H87:H90)</f>
        <v>1701.65472</v>
      </c>
      <c r="I91" s="77">
        <f t="shared" si="7"/>
        <v>1701.65472</v>
      </c>
      <c r="J91" s="77">
        <f t="shared" si="7"/>
        <v>1701.65472</v>
      </c>
      <c r="K91" s="77">
        <f t="shared" si="7"/>
        <v>1701.65472</v>
      </c>
      <c r="L91" s="77">
        <f t="shared" si="7"/>
        <v>1701.65472</v>
      </c>
      <c r="M91" s="77">
        <f t="shared" si="7"/>
        <v>1701.65472</v>
      </c>
      <c r="N91" s="77">
        <f t="shared" si="7"/>
        <v>1701.65472</v>
      </c>
      <c r="O91" s="77">
        <f t="shared" si="7"/>
        <v>1701.65472</v>
      </c>
      <c r="P91" s="77">
        <f t="shared" si="7"/>
        <v>1701.65472</v>
      </c>
      <c r="Q91" s="77">
        <f t="shared" si="7"/>
        <v>1701.65472</v>
      </c>
      <c r="R91" s="77">
        <f t="shared" si="7"/>
        <v>1701.65472</v>
      </c>
      <c r="S91" s="77">
        <f t="shared" si="7"/>
        <v>1701.65472</v>
      </c>
      <c r="T91" s="77">
        <f t="shared" si="7"/>
        <v>1701.65472</v>
      </c>
      <c r="U91" s="77">
        <f t="shared" si="7"/>
        <v>1701.65472</v>
      </c>
      <c r="V91" s="77">
        <f t="shared" si="7"/>
        <v>1701.65472</v>
      </c>
    </row>
    <row r="94" spans="2:22" s="113" customFormat="1" ht="22.5" customHeight="1">
      <c r="B94" s="112" t="s">
        <v>61</v>
      </c>
    </row>
    <row r="96" spans="2:22">
      <c r="B96" s="17" t="s">
        <v>275</v>
      </c>
      <c r="D96" s="7" t="s">
        <v>48</v>
      </c>
      <c r="E96" s="7" t="s">
        <v>50</v>
      </c>
      <c r="F96" s="7" t="s">
        <v>51</v>
      </c>
    </row>
    <row r="97" spans="2:7">
      <c r="B97" s="17"/>
      <c r="C97" s="17"/>
      <c r="D97" s="74" t="s">
        <v>49</v>
      </c>
      <c r="E97" s="74" t="s">
        <v>11</v>
      </c>
      <c r="F97" s="74" t="s">
        <v>44</v>
      </c>
    </row>
    <row r="98" spans="2:7">
      <c r="C98" s="71" t="s">
        <v>98</v>
      </c>
      <c r="D98" s="84">
        <f>IF($E$12="N",ASSUMPTIONS!C78,0)</f>
        <v>0</v>
      </c>
      <c r="E98" s="83">
        <f>D46</f>
        <v>10</v>
      </c>
      <c r="F98" s="84">
        <f>D98*E98</f>
        <v>0</v>
      </c>
    </row>
    <row r="99" spans="2:7">
      <c r="C99" s="71" t="s">
        <v>99</v>
      </c>
      <c r="D99" s="84">
        <f>IF($E$12="N",ASSUMPTIONS!C79,0)</f>
        <v>0</v>
      </c>
      <c r="E99" s="83">
        <f>D47</f>
        <v>10</v>
      </c>
      <c r="F99" s="84">
        <f t="shared" ref="F99:F103" si="8">D99*E99</f>
        <v>0</v>
      </c>
    </row>
    <row r="100" spans="2:7">
      <c r="C100" s="71" t="s">
        <v>45</v>
      </c>
      <c r="D100" s="84">
        <f>IF($E$12="N",ASSUMPTIONS!C80,0)+IF(AND($E$12="N",H12="YES"),ASSUMPTIONS!#REF!,0)</f>
        <v>0</v>
      </c>
      <c r="E100" s="83">
        <f>D48</f>
        <v>1</v>
      </c>
      <c r="F100" s="84">
        <f t="shared" si="8"/>
        <v>0</v>
      </c>
    </row>
    <row r="101" spans="2:7">
      <c r="C101" s="71" t="s">
        <v>43</v>
      </c>
      <c r="D101" s="84">
        <f>IF($E$12="N",ASSUMPTIONS!C81,0)</f>
        <v>0</v>
      </c>
      <c r="E101" s="83">
        <f>D49</f>
        <v>0</v>
      </c>
      <c r="F101" s="84">
        <f t="shared" si="8"/>
        <v>0</v>
      </c>
    </row>
    <row r="102" spans="2:7">
      <c r="C102" s="71" t="s">
        <v>62</v>
      </c>
      <c r="D102" s="84">
        <f>IF($E$12="N",ASSUMPTIONS!C82,0)</f>
        <v>0</v>
      </c>
      <c r="E102" s="83">
        <f>E98+E99+E101</f>
        <v>20</v>
      </c>
      <c r="F102" s="84">
        <f t="shared" si="8"/>
        <v>0</v>
      </c>
    </row>
    <row r="103" spans="2:7">
      <c r="C103" s="71" t="s">
        <v>63</v>
      </c>
      <c r="D103" s="84">
        <f>IF($E$12="N",ASSUMPTIONS!C83,0)</f>
        <v>0</v>
      </c>
      <c r="E103" s="83">
        <f>E100</f>
        <v>1</v>
      </c>
      <c r="F103" s="84">
        <f t="shared" si="8"/>
        <v>0</v>
      </c>
    </row>
    <row r="104" spans="2:7">
      <c r="C104" s="73" t="s">
        <v>51</v>
      </c>
      <c r="F104" s="90">
        <f>SUM(F98:F103)</f>
        <v>0</v>
      </c>
      <c r="G104" s="28"/>
    </row>
    <row r="106" spans="2:7">
      <c r="D106" s="7" t="s">
        <v>48</v>
      </c>
      <c r="E106" s="7" t="s">
        <v>50</v>
      </c>
      <c r="F106" s="7" t="s">
        <v>51</v>
      </c>
    </row>
    <row r="107" spans="2:7">
      <c r="B107" s="17" t="s">
        <v>54</v>
      </c>
      <c r="D107" s="74" t="s">
        <v>134</v>
      </c>
      <c r="E107" s="74" t="s">
        <v>11</v>
      </c>
      <c r="F107" s="74" t="s">
        <v>44</v>
      </c>
    </row>
    <row r="108" spans="2:7">
      <c r="B108" s="14"/>
      <c r="C108" s="71" t="s">
        <v>64</v>
      </c>
      <c r="D108" s="83">
        <f>ASSUMPTIONS!C84</f>
        <v>200</v>
      </c>
      <c r="E108" s="83">
        <f>SUM(CALCULATION!E102:E103)</f>
        <v>21</v>
      </c>
      <c r="F108" s="84">
        <f>D108*E108</f>
        <v>4200</v>
      </c>
    </row>
    <row r="109" spans="2:7">
      <c r="C109" s="71" t="s">
        <v>65</v>
      </c>
      <c r="D109" s="83">
        <f>ASSUMPTIONS!C85</f>
        <v>80</v>
      </c>
      <c r="E109" s="83">
        <v>0</v>
      </c>
      <c r="F109" s="84">
        <f>D109*E109</f>
        <v>0</v>
      </c>
    </row>
    <row r="110" spans="2:7">
      <c r="C110" s="73" t="s">
        <v>66</v>
      </c>
      <c r="F110" s="90">
        <f>SUM(F108:F109)</f>
        <v>4200</v>
      </c>
    </row>
    <row r="111" spans="2:7" ht="32.25" customHeight="1">
      <c r="G111" s="155" t="s">
        <v>276</v>
      </c>
    </row>
    <row r="113" spans="2:22">
      <c r="G113" s="157">
        <v>0</v>
      </c>
      <c r="H113" s="157">
        <v>1</v>
      </c>
      <c r="I113" s="157">
        <v>2</v>
      </c>
      <c r="J113" s="157">
        <v>3</v>
      </c>
      <c r="K113" s="157">
        <v>4</v>
      </c>
      <c r="L113" s="157">
        <v>5</v>
      </c>
      <c r="M113" s="157">
        <v>6</v>
      </c>
      <c r="N113" s="157">
        <v>7</v>
      </c>
      <c r="O113" s="157">
        <v>8</v>
      </c>
      <c r="P113" s="157">
        <v>9</v>
      </c>
      <c r="Q113" s="157">
        <v>10</v>
      </c>
      <c r="R113" s="157">
        <v>11</v>
      </c>
      <c r="S113" s="157">
        <v>12</v>
      </c>
      <c r="T113" s="157">
        <v>13</v>
      </c>
      <c r="U113" s="157">
        <v>14</v>
      </c>
      <c r="V113" s="157">
        <v>15</v>
      </c>
    </row>
    <row r="114" spans="2:22">
      <c r="G114" s="74" t="s">
        <v>44</v>
      </c>
      <c r="H114" s="74" t="s">
        <v>44</v>
      </c>
      <c r="I114" s="74" t="s">
        <v>44</v>
      </c>
      <c r="J114" s="74" t="s">
        <v>44</v>
      </c>
      <c r="K114" s="74" t="s">
        <v>44</v>
      </c>
      <c r="L114" s="74" t="s">
        <v>44</v>
      </c>
      <c r="M114" s="74" t="s">
        <v>44</v>
      </c>
      <c r="N114" s="74" t="s">
        <v>44</v>
      </c>
      <c r="O114" s="74" t="s">
        <v>44</v>
      </c>
      <c r="P114" s="74" t="s">
        <v>44</v>
      </c>
      <c r="Q114" s="74" t="s">
        <v>44</v>
      </c>
      <c r="R114" s="74" t="s">
        <v>44</v>
      </c>
      <c r="S114" s="74" t="s">
        <v>44</v>
      </c>
      <c r="T114" s="74" t="s">
        <v>44</v>
      </c>
      <c r="U114" s="74" t="s">
        <v>44</v>
      </c>
      <c r="V114" s="74" t="s">
        <v>44</v>
      </c>
    </row>
    <row r="115" spans="2:22">
      <c r="G115" s="84"/>
      <c r="H115" s="84">
        <f>$F$110</f>
        <v>4200</v>
      </c>
      <c r="I115" s="84">
        <f t="shared" ref="I115:V115" si="9">$F$110</f>
        <v>4200</v>
      </c>
      <c r="J115" s="84">
        <f t="shared" si="9"/>
        <v>4200</v>
      </c>
      <c r="K115" s="84">
        <f t="shared" si="9"/>
        <v>4200</v>
      </c>
      <c r="L115" s="84">
        <f t="shared" si="9"/>
        <v>4200</v>
      </c>
      <c r="M115" s="84">
        <f t="shared" si="9"/>
        <v>4200</v>
      </c>
      <c r="N115" s="84">
        <f t="shared" si="9"/>
        <v>4200</v>
      </c>
      <c r="O115" s="84">
        <f t="shared" si="9"/>
        <v>4200</v>
      </c>
      <c r="P115" s="84">
        <f t="shared" si="9"/>
        <v>4200</v>
      </c>
      <c r="Q115" s="84">
        <f t="shared" si="9"/>
        <v>4200</v>
      </c>
      <c r="R115" s="84">
        <f t="shared" si="9"/>
        <v>4200</v>
      </c>
      <c r="S115" s="84">
        <f t="shared" si="9"/>
        <v>4200</v>
      </c>
      <c r="T115" s="84">
        <f t="shared" si="9"/>
        <v>4200</v>
      </c>
      <c r="U115" s="84">
        <f t="shared" si="9"/>
        <v>4200</v>
      </c>
      <c r="V115" s="84">
        <f t="shared" si="9"/>
        <v>4200</v>
      </c>
    </row>
    <row r="118" spans="2:22" s="113" customFormat="1" ht="22.5" customHeight="1">
      <c r="B118" s="112" t="s">
        <v>67</v>
      </c>
    </row>
    <row r="120" spans="2:22">
      <c r="B120" s="17" t="s">
        <v>218</v>
      </c>
    </row>
    <row r="122" spans="2:22">
      <c r="D122" s="7" t="s">
        <v>14</v>
      </c>
      <c r="E122" s="7" t="s">
        <v>12</v>
      </c>
    </row>
    <row r="123" spans="2:22">
      <c r="C123" s="71" t="s">
        <v>135</v>
      </c>
      <c r="D123" s="83">
        <f>F23</f>
        <v>99.3</v>
      </c>
      <c r="E123" s="74" t="s">
        <v>13</v>
      </c>
      <c r="H123" s="28"/>
      <c r="I123" s="28"/>
      <c r="J123" s="28"/>
    </row>
    <row r="124" spans="2:22">
      <c r="C124" s="71" t="s">
        <v>136</v>
      </c>
      <c r="D124" s="83">
        <f>D123/(1-ASSUMPTIONS!C27)</f>
        <v>119.63855421686748</v>
      </c>
      <c r="E124" s="74" t="s">
        <v>13</v>
      </c>
      <c r="H124" s="28"/>
      <c r="I124" s="28"/>
      <c r="J124" s="28"/>
    </row>
    <row r="125" spans="2:22">
      <c r="C125" s="71" t="s">
        <v>137</v>
      </c>
      <c r="D125" s="83">
        <f>D123*ASSUMPTIONS!C28</f>
        <v>198.6</v>
      </c>
      <c r="E125" s="74" t="s">
        <v>13</v>
      </c>
      <c r="H125" s="28"/>
      <c r="I125" s="28"/>
      <c r="J125" s="28"/>
    </row>
    <row r="126" spans="2:22">
      <c r="C126" s="71" t="s">
        <v>29</v>
      </c>
      <c r="D126" s="83">
        <f>D125+D124</f>
        <v>318.23855421686744</v>
      </c>
      <c r="E126" s="74" t="s">
        <v>13</v>
      </c>
      <c r="H126" s="28"/>
      <c r="I126" s="28"/>
      <c r="J126" s="28"/>
    </row>
    <row r="127" spans="2:22">
      <c r="C127" s="71" t="s">
        <v>29</v>
      </c>
      <c r="D127" s="83">
        <f>D126/Number_Minutes</f>
        <v>5.3039759036144574</v>
      </c>
      <c r="E127" s="74" t="s">
        <v>201</v>
      </c>
      <c r="H127" s="28"/>
      <c r="I127" s="28"/>
      <c r="J127" s="28"/>
    </row>
    <row r="128" spans="2:22">
      <c r="C128" s="71" t="s">
        <v>202</v>
      </c>
      <c r="D128" s="89">
        <f>D127*ASSUMPTIONS!C29+ASSUMPTIONS!C30</f>
        <v>5.3101855180722888</v>
      </c>
      <c r="E128" s="74" t="s">
        <v>34</v>
      </c>
      <c r="H128" s="29"/>
      <c r="I128" s="29"/>
      <c r="J128" s="29"/>
    </row>
    <row r="129" spans="2:13">
      <c r="C129" s="71" t="s">
        <v>202</v>
      </c>
      <c r="D129" s="83">
        <f>D128*ASSUMPTIONS!C16*1000</f>
        <v>3.9598053408265055</v>
      </c>
      <c r="E129" s="74" t="s">
        <v>39</v>
      </c>
      <c r="H129" s="28"/>
      <c r="I129" s="28"/>
      <c r="J129" s="28"/>
    </row>
    <row r="130" spans="2:13">
      <c r="C130" s="71" t="s">
        <v>40</v>
      </c>
      <c r="D130" s="83">
        <f>D129*ASSUMPTIONS!C31*Number_Hours*Number_Days</f>
        <v>17343.947392820093</v>
      </c>
      <c r="E130" s="74" t="s">
        <v>41</v>
      </c>
      <c r="H130" s="28"/>
      <c r="I130" s="28"/>
      <c r="J130" s="28"/>
    </row>
    <row r="131" spans="2:13">
      <c r="H131" s="28"/>
      <c r="I131" s="28"/>
      <c r="J131" s="28"/>
    </row>
    <row r="133" spans="2:13">
      <c r="B133" s="17" t="s">
        <v>53</v>
      </c>
    </row>
    <row r="135" spans="2:13">
      <c r="D135" s="7" t="s">
        <v>48</v>
      </c>
      <c r="E135" s="7" t="s">
        <v>12</v>
      </c>
      <c r="F135" s="7" t="s">
        <v>50</v>
      </c>
      <c r="G135" s="7" t="s">
        <v>12</v>
      </c>
      <c r="H135" s="7" t="s">
        <v>51</v>
      </c>
    </row>
    <row r="136" spans="2:13">
      <c r="C136" s="71" t="s">
        <v>280</v>
      </c>
      <c r="D136" s="83">
        <f t="shared" ref="D136:D141" si="10">D98</f>
        <v>0</v>
      </c>
      <c r="E136" s="74" t="s">
        <v>49</v>
      </c>
      <c r="F136" s="83">
        <f t="shared" ref="F136:F141" si="11">E98</f>
        <v>10</v>
      </c>
      <c r="G136" s="74" t="s">
        <v>204</v>
      </c>
      <c r="H136" s="84">
        <f t="shared" ref="H136:H141" si="12">D136*F136</f>
        <v>0</v>
      </c>
    </row>
    <row r="137" spans="2:13">
      <c r="C137" s="71" t="s">
        <v>281</v>
      </c>
      <c r="D137" s="83">
        <f t="shared" si="10"/>
        <v>0</v>
      </c>
      <c r="E137" s="74" t="s">
        <v>49</v>
      </c>
      <c r="F137" s="83">
        <f t="shared" si="11"/>
        <v>10</v>
      </c>
      <c r="G137" s="74" t="s">
        <v>204</v>
      </c>
      <c r="H137" s="84">
        <f t="shared" si="12"/>
        <v>0</v>
      </c>
    </row>
    <row r="138" spans="2:13">
      <c r="C138" s="71" t="s">
        <v>282</v>
      </c>
      <c r="D138" s="83">
        <f t="shared" si="10"/>
        <v>0</v>
      </c>
      <c r="E138" s="74" t="s">
        <v>49</v>
      </c>
      <c r="F138" s="83">
        <f t="shared" si="11"/>
        <v>1</v>
      </c>
      <c r="G138" s="74" t="s">
        <v>204</v>
      </c>
      <c r="H138" s="84">
        <f t="shared" si="12"/>
        <v>0</v>
      </c>
    </row>
    <row r="139" spans="2:13">
      <c r="C139" s="71" t="s">
        <v>283</v>
      </c>
      <c r="D139" s="83">
        <f t="shared" si="10"/>
        <v>0</v>
      </c>
      <c r="E139" s="74" t="s">
        <v>49</v>
      </c>
      <c r="F139" s="83">
        <f t="shared" si="11"/>
        <v>0</v>
      </c>
      <c r="G139" s="74" t="s">
        <v>204</v>
      </c>
      <c r="H139" s="84">
        <f t="shared" si="12"/>
        <v>0</v>
      </c>
    </row>
    <row r="140" spans="2:13">
      <c r="C140" s="92" t="s">
        <v>284</v>
      </c>
      <c r="D140" s="83">
        <f t="shared" si="10"/>
        <v>0</v>
      </c>
      <c r="E140" s="74" t="s">
        <v>49</v>
      </c>
      <c r="F140" s="83">
        <f t="shared" si="11"/>
        <v>20</v>
      </c>
      <c r="G140" s="74" t="s">
        <v>204</v>
      </c>
      <c r="H140" s="84">
        <f t="shared" si="12"/>
        <v>0</v>
      </c>
    </row>
    <row r="141" spans="2:13">
      <c r="C141" s="92" t="s">
        <v>285</v>
      </c>
      <c r="D141" s="83">
        <f t="shared" si="10"/>
        <v>0</v>
      </c>
      <c r="E141" s="74" t="s">
        <v>49</v>
      </c>
      <c r="F141" s="83">
        <f t="shared" si="11"/>
        <v>1</v>
      </c>
      <c r="G141" s="74" t="s">
        <v>204</v>
      </c>
      <c r="H141" s="84">
        <f t="shared" si="12"/>
        <v>0</v>
      </c>
    </row>
    <row r="142" spans="2:13">
      <c r="C142" s="92" t="s">
        <v>143</v>
      </c>
      <c r="D142" s="83">
        <f>VLOOKUP(F142,ASSUMPTIONS!A63:C66,3,FALSE)</f>
        <v>32000</v>
      </c>
      <c r="E142" s="74" t="s">
        <v>203</v>
      </c>
      <c r="F142" s="83">
        <f>IF(D128&lt;5,5,IF(D128&lt;10,10,IF(D128&lt;15,15,IF(D128&lt;20,20,"NA"))))</f>
        <v>10</v>
      </c>
      <c r="G142" s="74" t="s">
        <v>34</v>
      </c>
      <c r="H142" s="84">
        <f>D142</f>
        <v>32000</v>
      </c>
      <c r="I142" s="26"/>
      <c r="J142" s="11"/>
      <c r="K142" s="11"/>
      <c r="L142" s="11"/>
      <c r="M142" s="11"/>
    </row>
    <row r="143" spans="2:13">
      <c r="B143" s="91" t="str">
        <f>C143&amp;"-"&amp;$E$12</f>
        <v>Other supply-R</v>
      </c>
      <c r="C143" s="92" t="s">
        <v>160</v>
      </c>
      <c r="D143" s="83">
        <f>VLOOKUP(B143,ASSUMPTIONS!A71:C72,3,FALSE)</f>
        <v>1400</v>
      </c>
      <c r="E143" s="74" t="str">
        <f>ASSUMPTIONS!D71</f>
        <v>USD/controller</v>
      </c>
      <c r="F143" s="83">
        <f>F140</f>
        <v>20</v>
      </c>
      <c r="G143" s="74" t="s">
        <v>204</v>
      </c>
      <c r="H143" s="84">
        <f>D143*F143</f>
        <v>28000</v>
      </c>
      <c r="I143" s="26"/>
      <c r="J143" s="11"/>
      <c r="K143" s="11"/>
      <c r="L143" s="11"/>
      <c r="M143" s="11"/>
    </row>
    <row r="144" spans="2:13">
      <c r="B144" s="91" t="str">
        <f>C144&amp;"-"&amp;$E$12</f>
        <v>Installation-R</v>
      </c>
      <c r="C144" s="92" t="s">
        <v>161</v>
      </c>
      <c r="D144" s="82">
        <f>VLOOKUP(B144,ASSUMPTIONS!A73:D74,3,FALSE)</f>
        <v>1</v>
      </c>
      <c r="E144" s="74" t="s">
        <v>18</v>
      </c>
      <c r="F144" s="84">
        <f>SUM(H142:H143)</f>
        <v>60000</v>
      </c>
      <c r="G144" s="74" t="s">
        <v>44</v>
      </c>
      <c r="H144" s="84">
        <f>D144*F144</f>
        <v>60000</v>
      </c>
      <c r="I144" s="11"/>
      <c r="J144" s="34"/>
      <c r="K144" s="34"/>
      <c r="L144" s="34"/>
      <c r="M144" s="34"/>
    </row>
    <row r="145" spans="2:22">
      <c r="B145" s="3" t="s">
        <v>69</v>
      </c>
      <c r="C145" s="72" t="s">
        <v>144</v>
      </c>
      <c r="H145" s="90">
        <f>SUM(H142:H144)</f>
        <v>120000</v>
      </c>
      <c r="R145" s="30"/>
    </row>
    <row r="146" spans="2:22">
      <c r="C146" s="73" t="s">
        <v>51</v>
      </c>
      <c r="D146" s="2"/>
      <c r="E146" s="2"/>
      <c r="F146" s="2"/>
      <c r="G146" s="2"/>
      <c r="H146" s="90">
        <f>SUM(H136:H144)</f>
        <v>120000</v>
      </c>
    </row>
    <row r="147" spans="2:22">
      <c r="H147" s="26"/>
    </row>
    <row r="148" spans="2:22" ht="31.5" customHeight="1">
      <c r="G148" s="155" t="s">
        <v>276</v>
      </c>
      <c r="H148" s="26"/>
    </row>
    <row r="149" spans="2:22">
      <c r="H149" s="26"/>
    </row>
    <row r="150" spans="2:22">
      <c r="B150" s="17" t="s">
        <v>54</v>
      </c>
      <c r="D150" s="18" t="s">
        <v>48</v>
      </c>
      <c r="E150" s="19" t="s">
        <v>57</v>
      </c>
      <c r="G150" s="157">
        <v>0</v>
      </c>
      <c r="H150" s="157">
        <v>1</v>
      </c>
      <c r="I150" s="157">
        <v>2</v>
      </c>
      <c r="J150" s="157">
        <v>3</v>
      </c>
      <c r="K150" s="157">
        <v>4</v>
      </c>
      <c r="L150" s="157">
        <v>5</v>
      </c>
      <c r="M150" s="157">
        <v>6</v>
      </c>
      <c r="N150" s="157">
        <v>7</v>
      </c>
      <c r="O150" s="157">
        <v>8</v>
      </c>
      <c r="P150" s="157">
        <v>9</v>
      </c>
      <c r="Q150" s="157">
        <v>10</v>
      </c>
      <c r="R150" s="157">
        <v>11</v>
      </c>
      <c r="S150" s="157">
        <v>12</v>
      </c>
      <c r="T150" s="157">
        <v>13</v>
      </c>
      <c r="U150" s="157">
        <v>14</v>
      </c>
      <c r="V150" s="157">
        <v>15</v>
      </c>
    </row>
    <row r="151" spans="2:22">
      <c r="D151" s="94" t="s">
        <v>71</v>
      </c>
      <c r="E151" s="95" t="s">
        <v>279</v>
      </c>
      <c r="G151" s="74" t="s">
        <v>44</v>
      </c>
      <c r="H151" s="74" t="s">
        <v>44</v>
      </c>
      <c r="I151" s="74" t="s">
        <v>44</v>
      </c>
      <c r="J151" s="74" t="s">
        <v>44</v>
      </c>
      <c r="K151" s="74" t="s">
        <v>44</v>
      </c>
      <c r="L151" s="74" t="s">
        <v>44</v>
      </c>
      <c r="M151" s="74" t="s">
        <v>44</v>
      </c>
      <c r="N151" s="74" t="s">
        <v>44</v>
      </c>
      <c r="O151" s="74" t="s">
        <v>44</v>
      </c>
      <c r="P151" s="74" t="s">
        <v>44</v>
      </c>
      <c r="Q151" s="74" t="s">
        <v>44</v>
      </c>
      <c r="R151" s="74" t="s">
        <v>44</v>
      </c>
      <c r="S151" s="74" t="s">
        <v>44</v>
      </c>
      <c r="T151" s="74" t="s">
        <v>44</v>
      </c>
      <c r="U151" s="74" t="s">
        <v>44</v>
      </c>
      <c r="V151" s="74" t="s">
        <v>44</v>
      </c>
    </row>
    <row r="152" spans="2:22">
      <c r="B152" s="14"/>
      <c r="C152" s="72" t="s">
        <v>70</v>
      </c>
      <c r="D152" s="85">
        <f>IF(F12="E",D130*ASSUMPTIONS!C42,0)</f>
        <v>1734.3947392820094</v>
      </c>
      <c r="E152" s="147">
        <v>1</v>
      </c>
      <c r="G152" s="84">
        <f>$D$152</f>
        <v>1734.3947392820094</v>
      </c>
      <c r="H152" s="84">
        <f t="shared" ref="H152:V152" si="13">$D$152</f>
        <v>1734.3947392820094</v>
      </c>
      <c r="I152" s="84">
        <f t="shared" si="13"/>
        <v>1734.3947392820094</v>
      </c>
      <c r="J152" s="84">
        <f t="shared" si="13"/>
        <v>1734.3947392820094</v>
      </c>
      <c r="K152" s="84">
        <f t="shared" si="13"/>
        <v>1734.3947392820094</v>
      </c>
      <c r="L152" s="84">
        <f t="shared" si="13"/>
        <v>1734.3947392820094</v>
      </c>
      <c r="M152" s="84">
        <f t="shared" si="13"/>
        <v>1734.3947392820094</v>
      </c>
      <c r="N152" s="84">
        <f t="shared" si="13"/>
        <v>1734.3947392820094</v>
      </c>
      <c r="O152" s="84">
        <f t="shared" si="13"/>
        <v>1734.3947392820094</v>
      </c>
      <c r="P152" s="84">
        <f t="shared" si="13"/>
        <v>1734.3947392820094</v>
      </c>
      <c r="Q152" s="84">
        <f t="shared" si="13"/>
        <v>1734.3947392820094</v>
      </c>
      <c r="R152" s="84">
        <f t="shared" si="13"/>
        <v>1734.3947392820094</v>
      </c>
      <c r="S152" s="84">
        <f t="shared" si="13"/>
        <v>1734.3947392820094</v>
      </c>
      <c r="T152" s="84">
        <f t="shared" si="13"/>
        <v>1734.3947392820094</v>
      </c>
      <c r="U152" s="84">
        <f t="shared" si="13"/>
        <v>1734.3947392820094</v>
      </c>
      <c r="V152" s="84">
        <f t="shared" si="13"/>
        <v>1734.3947392820094</v>
      </c>
    </row>
    <row r="153" spans="2:22">
      <c r="B153" s="93"/>
      <c r="C153" s="72" t="s">
        <v>73</v>
      </c>
      <c r="D153" s="85">
        <f>VLOOKUP(F142,ASSUMPTIONS!A67:C70,3,FALSE)</f>
        <v>10000</v>
      </c>
      <c r="E153" s="147">
        <f>ASSUMPTIONS!C32</f>
        <v>6</v>
      </c>
      <c r="G153" s="84"/>
      <c r="H153" s="84">
        <f>IF(H$85/$E153=ROUNDDOWN(H$85/$E153,0),$D153,0)</f>
        <v>0</v>
      </c>
      <c r="I153" s="84">
        <f t="shared" ref="I153:V153" si="14">IF(I$85/$E153=ROUNDDOWN(I$85/$E153,0),$D153,0)</f>
        <v>0</v>
      </c>
      <c r="J153" s="84">
        <f t="shared" si="14"/>
        <v>0</v>
      </c>
      <c r="K153" s="84">
        <f t="shared" si="14"/>
        <v>0</v>
      </c>
      <c r="L153" s="84">
        <f t="shared" si="14"/>
        <v>0</v>
      </c>
      <c r="M153" s="84">
        <f t="shared" si="14"/>
        <v>10000</v>
      </c>
      <c r="N153" s="84">
        <f t="shared" si="14"/>
        <v>0</v>
      </c>
      <c r="O153" s="84">
        <f t="shared" si="14"/>
        <v>0</v>
      </c>
      <c r="P153" s="84">
        <f t="shared" si="14"/>
        <v>0</v>
      </c>
      <c r="Q153" s="84">
        <f t="shared" si="14"/>
        <v>0</v>
      </c>
      <c r="R153" s="84">
        <f t="shared" si="14"/>
        <v>0</v>
      </c>
      <c r="S153" s="84">
        <f t="shared" si="14"/>
        <v>10000</v>
      </c>
      <c r="T153" s="84">
        <f t="shared" si="14"/>
        <v>0</v>
      </c>
      <c r="U153" s="84">
        <f t="shared" si="14"/>
        <v>0</v>
      </c>
      <c r="V153" s="84">
        <f t="shared" si="14"/>
        <v>0</v>
      </c>
    </row>
    <row r="154" spans="2:22">
      <c r="B154" s="14"/>
      <c r="C154" s="72" t="s">
        <v>74</v>
      </c>
      <c r="D154" s="85">
        <f>ASSUMPTIONS!C75*CALCULATION!H142</f>
        <v>1280</v>
      </c>
      <c r="E154" s="147">
        <v>1</v>
      </c>
      <c r="G154" s="84"/>
      <c r="H154" s="84">
        <f>IF(H153=0,$D$154,0)</f>
        <v>1280</v>
      </c>
      <c r="I154" s="84">
        <f t="shared" ref="I154:V154" si="15">IF(I153=0,$D$154,0)</f>
        <v>1280</v>
      </c>
      <c r="J154" s="84">
        <f t="shared" si="15"/>
        <v>1280</v>
      </c>
      <c r="K154" s="84">
        <f t="shared" si="15"/>
        <v>1280</v>
      </c>
      <c r="L154" s="84">
        <f t="shared" si="15"/>
        <v>1280</v>
      </c>
      <c r="M154" s="84">
        <f t="shared" si="15"/>
        <v>0</v>
      </c>
      <c r="N154" s="84">
        <f t="shared" si="15"/>
        <v>1280</v>
      </c>
      <c r="O154" s="84">
        <f t="shared" si="15"/>
        <v>1280</v>
      </c>
      <c r="P154" s="84">
        <f t="shared" si="15"/>
        <v>1280</v>
      </c>
      <c r="Q154" s="84">
        <f t="shared" si="15"/>
        <v>1280</v>
      </c>
      <c r="R154" s="84">
        <f t="shared" si="15"/>
        <v>1280</v>
      </c>
      <c r="S154" s="84">
        <f t="shared" si="15"/>
        <v>0</v>
      </c>
      <c r="T154" s="84">
        <f t="shared" si="15"/>
        <v>1280</v>
      </c>
      <c r="U154" s="84">
        <f t="shared" si="15"/>
        <v>1280</v>
      </c>
      <c r="V154" s="84">
        <f t="shared" si="15"/>
        <v>1280</v>
      </c>
    </row>
    <row r="155" spans="2:22">
      <c r="C155" s="73" t="s">
        <v>60</v>
      </c>
      <c r="G155" s="84">
        <f t="shared" ref="G155:V155" si="16">SUM(G152:G154)</f>
        <v>1734.3947392820094</v>
      </c>
      <c r="H155" s="84">
        <f t="shared" si="16"/>
        <v>3014.3947392820091</v>
      </c>
      <c r="I155" s="84">
        <f t="shared" si="16"/>
        <v>3014.3947392820091</v>
      </c>
      <c r="J155" s="84">
        <f t="shared" si="16"/>
        <v>3014.3947392820091</v>
      </c>
      <c r="K155" s="84">
        <f t="shared" si="16"/>
        <v>3014.3947392820091</v>
      </c>
      <c r="L155" s="84">
        <f t="shared" si="16"/>
        <v>3014.3947392820091</v>
      </c>
      <c r="M155" s="84">
        <f t="shared" si="16"/>
        <v>11734.39473928201</v>
      </c>
      <c r="N155" s="84">
        <f t="shared" si="16"/>
        <v>3014.3947392820091</v>
      </c>
      <c r="O155" s="84">
        <f t="shared" si="16"/>
        <v>3014.3947392820091</v>
      </c>
      <c r="P155" s="84">
        <f t="shared" si="16"/>
        <v>3014.3947392820091</v>
      </c>
      <c r="Q155" s="84">
        <f t="shared" si="16"/>
        <v>3014.3947392820091</v>
      </c>
      <c r="R155" s="84">
        <f t="shared" si="16"/>
        <v>3014.3947392820091</v>
      </c>
      <c r="S155" s="84">
        <f t="shared" si="16"/>
        <v>11734.39473928201</v>
      </c>
      <c r="T155" s="84">
        <f t="shared" si="16"/>
        <v>3014.3947392820091</v>
      </c>
      <c r="U155" s="84">
        <f t="shared" si="16"/>
        <v>3014.3947392820091</v>
      </c>
      <c r="V155" s="84">
        <f t="shared" si="16"/>
        <v>3014.3947392820091</v>
      </c>
    </row>
    <row r="158" spans="2:22" s="113" customFormat="1" ht="22.5" customHeight="1">
      <c r="B158" s="112" t="s">
        <v>230</v>
      </c>
    </row>
    <row r="160" spans="2:22">
      <c r="B160" s="156" t="s">
        <v>277</v>
      </c>
      <c r="G160" s="157">
        <v>0</v>
      </c>
      <c r="H160" s="157">
        <v>1</v>
      </c>
      <c r="I160" s="157">
        <v>2</v>
      </c>
      <c r="J160" s="157">
        <v>3</v>
      </c>
      <c r="K160" s="157">
        <v>4</v>
      </c>
      <c r="L160" s="157">
        <v>5</v>
      </c>
      <c r="M160" s="157">
        <v>6</v>
      </c>
      <c r="N160" s="157">
        <v>7</v>
      </c>
      <c r="O160" s="157">
        <v>8</v>
      </c>
      <c r="P160" s="157">
        <v>9</v>
      </c>
      <c r="Q160" s="157">
        <v>10</v>
      </c>
      <c r="R160" s="157">
        <v>11</v>
      </c>
      <c r="S160" s="157">
        <v>12</v>
      </c>
      <c r="T160" s="157">
        <v>13</v>
      </c>
      <c r="U160" s="157">
        <v>14</v>
      </c>
      <c r="V160" s="157">
        <v>15</v>
      </c>
    </row>
    <row r="161" spans="2:22">
      <c r="B161" s="146">
        <f>DASHBOARD!P18-1</f>
        <v>9</v>
      </c>
      <c r="E161" s="83" t="s">
        <v>77</v>
      </c>
      <c r="F161" s="74" t="s">
        <v>44</v>
      </c>
      <c r="G161" s="84">
        <f>F82</f>
        <v>108000</v>
      </c>
    </row>
    <row r="162" spans="2:22">
      <c r="E162" s="83" t="s">
        <v>78</v>
      </c>
      <c r="F162" s="74" t="s">
        <v>44</v>
      </c>
      <c r="G162" s="84">
        <f>F104</f>
        <v>0</v>
      </c>
    </row>
    <row r="163" spans="2:22">
      <c r="E163" s="77" t="s">
        <v>81</v>
      </c>
      <c r="F163" s="74" t="s">
        <v>44</v>
      </c>
      <c r="G163" s="90">
        <f>G161-G162</f>
        <v>108000</v>
      </c>
    </row>
    <row r="165" spans="2:22">
      <c r="E165" s="83" t="s">
        <v>79</v>
      </c>
      <c r="F165" s="74" t="s">
        <v>44</v>
      </c>
      <c r="G165" s="84">
        <f>G91</f>
        <v>21.654719999999998</v>
      </c>
      <c r="H165" s="84">
        <f t="shared" ref="H165:V165" si="17">H91</f>
        <v>1701.65472</v>
      </c>
      <c r="I165" s="84">
        <f t="shared" si="17"/>
        <v>1701.65472</v>
      </c>
      <c r="J165" s="84">
        <f t="shared" si="17"/>
        <v>1701.65472</v>
      </c>
      <c r="K165" s="84">
        <f t="shared" si="17"/>
        <v>1701.65472</v>
      </c>
      <c r="L165" s="84">
        <f t="shared" si="17"/>
        <v>1701.65472</v>
      </c>
      <c r="M165" s="84">
        <f t="shared" si="17"/>
        <v>1701.65472</v>
      </c>
      <c r="N165" s="84">
        <f t="shared" si="17"/>
        <v>1701.65472</v>
      </c>
      <c r="O165" s="84">
        <f t="shared" si="17"/>
        <v>1701.65472</v>
      </c>
      <c r="P165" s="84">
        <f t="shared" si="17"/>
        <v>1701.65472</v>
      </c>
      <c r="Q165" s="84">
        <f t="shared" si="17"/>
        <v>1701.65472</v>
      </c>
      <c r="R165" s="84">
        <f t="shared" si="17"/>
        <v>1701.65472</v>
      </c>
      <c r="S165" s="84">
        <f t="shared" si="17"/>
        <v>1701.65472</v>
      </c>
      <c r="T165" s="84">
        <f t="shared" si="17"/>
        <v>1701.65472</v>
      </c>
      <c r="U165" s="84">
        <f t="shared" si="17"/>
        <v>1701.65472</v>
      </c>
      <c r="V165" s="84">
        <f t="shared" si="17"/>
        <v>1701.65472</v>
      </c>
    </row>
    <row r="166" spans="2:22">
      <c r="E166" s="83" t="s">
        <v>80</v>
      </c>
      <c r="F166" s="74" t="s">
        <v>44</v>
      </c>
      <c r="G166" s="84">
        <f t="shared" ref="G166:V166" si="18">G115</f>
        <v>0</v>
      </c>
      <c r="H166" s="84">
        <f>H115</f>
        <v>4200</v>
      </c>
      <c r="I166" s="84">
        <f t="shared" si="18"/>
        <v>4200</v>
      </c>
      <c r="J166" s="84">
        <f t="shared" si="18"/>
        <v>4200</v>
      </c>
      <c r="K166" s="84">
        <f t="shared" si="18"/>
        <v>4200</v>
      </c>
      <c r="L166" s="84">
        <f t="shared" si="18"/>
        <v>4200</v>
      </c>
      <c r="M166" s="84">
        <f t="shared" si="18"/>
        <v>4200</v>
      </c>
      <c r="N166" s="84">
        <f t="shared" si="18"/>
        <v>4200</v>
      </c>
      <c r="O166" s="84">
        <f t="shared" si="18"/>
        <v>4200</v>
      </c>
      <c r="P166" s="84">
        <f t="shared" si="18"/>
        <v>4200</v>
      </c>
      <c r="Q166" s="84">
        <f t="shared" si="18"/>
        <v>4200</v>
      </c>
      <c r="R166" s="84">
        <f t="shared" si="18"/>
        <v>4200</v>
      </c>
      <c r="S166" s="84">
        <f t="shared" si="18"/>
        <v>4200</v>
      </c>
      <c r="T166" s="84">
        <f t="shared" si="18"/>
        <v>4200</v>
      </c>
      <c r="U166" s="84">
        <f t="shared" si="18"/>
        <v>4200</v>
      </c>
      <c r="V166" s="84">
        <f t="shared" si="18"/>
        <v>4200</v>
      </c>
    </row>
    <row r="167" spans="2:22">
      <c r="D167" s="36"/>
      <c r="E167" s="77" t="s">
        <v>81</v>
      </c>
      <c r="F167" s="74" t="s">
        <v>44</v>
      </c>
      <c r="G167" s="90">
        <f>G165-G166</f>
        <v>21.654719999999998</v>
      </c>
      <c r="H167" s="90">
        <f>H165-H166</f>
        <v>-2498.34528</v>
      </c>
      <c r="I167" s="90">
        <f t="shared" ref="I167:U167" si="19">I165-I166</f>
        <v>-2498.34528</v>
      </c>
      <c r="J167" s="90">
        <f t="shared" si="19"/>
        <v>-2498.34528</v>
      </c>
      <c r="K167" s="90">
        <f t="shared" si="19"/>
        <v>-2498.34528</v>
      </c>
      <c r="L167" s="90">
        <f t="shared" si="19"/>
        <v>-2498.34528</v>
      </c>
      <c r="M167" s="90">
        <f t="shared" si="19"/>
        <v>-2498.34528</v>
      </c>
      <c r="N167" s="90">
        <f t="shared" si="19"/>
        <v>-2498.34528</v>
      </c>
      <c r="O167" s="90">
        <f t="shared" si="19"/>
        <v>-2498.34528</v>
      </c>
      <c r="P167" s="90">
        <f t="shared" si="19"/>
        <v>-2498.34528</v>
      </c>
      <c r="Q167" s="90">
        <f t="shared" si="19"/>
        <v>-2498.34528</v>
      </c>
      <c r="R167" s="90">
        <f t="shared" si="19"/>
        <v>-2498.34528</v>
      </c>
      <c r="S167" s="90">
        <f t="shared" si="19"/>
        <v>-2498.34528</v>
      </c>
      <c r="T167" s="90">
        <f t="shared" si="19"/>
        <v>-2498.34528</v>
      </c>
      <c r="U167" s="90">
        <f t="shared" si="19"/>
        <v>-2498.34528</v>
      </c>
      <c r="V167" s="90">
        <f t="shared" ref="V167" si="20">V165-V166</f>
        <v>-2498.34528</v>
      </c>
    </row>
    <row r="168" spans="2:22">
      <c r="E168" s="83" t="s">
        <v>89</v>
      </c>
      <c r="F168" s="74" t="s">
        <v>44</v>
      </c>
      <c r="G168" s="84">
        <f>G167+G163</f>
        <v>108021.65472000001</v>
      </c>
      <c r="H168" s="84">
        <f t="shared" ref="H168:U168" si="21">H167+H163</f>
        <v>-2498.34528</v>
      </c>
      <c r="I168" s="84">
        <f t="shared" si="21"/>
        <v>-2498.34528</v>
      </c>
      <c r="J168" s="84">
        <f t="shared" si="21"/>
        <v>-2498.34528</v>
      </c>
      <c r="K168" s="84">
        <f t="shared" si="21"/>
        <v>-2498.34528</v>
      </c>
      <c r="L168" s="84">
        <f t="shared" si="21"/>
        <v>-2498.34528</v>
      </c>
      <c r="M168" s="84">
        <f t="shared" si="21"/>
        <v>-2498.34528</v>
      </c>
      <c r="N168" s="84">
        <f t="shared" si="21"/>
        <v>-2498.34528</v>
      </c>
      <c r="O168" s="84">
        <f t="shared" si="21"/>
        <v>-2498.34528</v>
      </c>
      <c r="P168" s="84">
        <f t="shared" si="21"/>
        <v>-2498.34528</v>
      </c>
      <c r="Q168" s="84">
        <f t="shared" si="21"/>
        <v>-2498.34528</v>
      </c>
      <c r="R168" s="84">
        <f t="shared" si="21"/>
        <v>-2498.34528</v>
      </c>
      <c r="S168" s="84">
        <f t="shared" si="21"/>
        <v>-2498.34528</v>
      </c>
      <c r="T168" s="84">
        <f t="shared" si="21"/>
        <v>-2498.34528</v>
      </c>
      <c r="U168" s="84">
        <f t="shared" si="21"/>
        <v>-2498.34528</v>
      </c>
      <c r="V168" s="84">
        <f t="shared" ref="V168" si="22">V167+V163</f>
        <v>-2498.34528</v>
      </c>
    </row>
    <row r="170" spans="2:22">
      <c r="E170" s="83" t="s">
        <v>82</v>
      </c>
      <c r="F170" s="74" t="s">
        <v>42</v>
      </c>
      <c r="G170" s="84">
        <f t="shared" ref="G170:V170" si="23">$F$24-$F$37</f>
        <v>869.86799999999994</v>
      </c>
      <c r="H170" s="84">
        <f>$F$24-$F$37</f>
        <v>869.86799999999994</v>
      </c>
      <c r="I170" s="84">
        <f t="shared" si="23"/>
        <v>869.86799999999994</v>
      </c>
      <c r="J170" s="84">
        <f t="shared" si="23"/>
        <v>869.86799999999994</v>
      </c>
      <c r="K170" s="84">
        <f t="shared" si="23"/>
        <v>869.86799999999994</v>
      </c>
      <c r="L170" s="84">
        <f t="shared" si="23"/>
        <v>869.86799999999994</v>
      </c>
      <c r="M170" s="84">
        <f t="shared" si="23"/>
        <v>869.86799999999994</v>
      </c>
      <c r="N170" s="84">
        <f t="shared" si="23"/>
        <v>869.86799999999994</v>
      </c>
      <c r="O170" s="84">
        <f t="shared" si="23"/>
        <v>869.86799999999994</v>
      </c>
      <c r="P170" s="84">
        <f t="shared" si="23"/>
        <v>869.86799999999994</v>
      </c>
      <c r="Q170" s="84">
        <f t="shared" si="23"/>
        <v>869.86799999999994</v>
      </c>
      <c r="R170" s="84">
        <f t="shared" si="23"/>
        <v>869.86799999999994</v>
      </c>
      <c r="S170" s="84">
        <f t="shared" si="23"/>
        <v>869.86799999999994</v>
      </c>
      <c r="T170" s="84">
        <f t="shared" si="23"/>
        <v>869.86799999999994</v>
      </c>
      <c r="U170" s="84">
        <f t="shared" si="23"/>
        <v>869.86799999999994</v>
      </c>
      <c r="V170" s="84">
        <f t="shared" si="23"/>
        <v>869.86799999999994</v>
      </c>
    </row>
    <row r="171" spans="2:22">
      <c r="E171" s="83" t="s">
        <v>82</v>
      </c>
      <c r="F171" s="74" t="s">
        <v>44</v>
      </c>
      <c r="G171" s="84">
        <f>G170*Gas_Price</f>
        <v>1626.6531600000001</v>
      </c>
      <c r="H171" s="84">
        <f t="shared" ref="H171:U171" si="24">H170*Gas_Price</f>
        <v>1626.6531600000001</v>
      </c>
      <c r="I171" s="84">
        <f t="shared" si="24"/>
        <v>1626.6531600000001</v>
      </c>
      <c r="J171" s="84">
        <f t="shared" si="24"/>
        <v>1626.6531600000001</v>
      </c>
      <c r="K171" s="84">
        <f t="shared" si="24"/>
        <v>1626.6531600000001</v>
      </c>
      <c r="L171" s="84">
        <f t="shared" si="24"/>
        <v>1626.6531600000001</v>
      </c>
      <c r="M171" s="84">
        <f t="shared" si="24"/>
        <v>1626.6531600000001</v>
      </c>
      <c r="N171" s="84">
        <f t="shared" si="24"/>
        <v>1626.6531600000001</v>
      </c>
      <c r="O171" s="84">
        <f t="shared" si="24"/>
        <v>1626.6531600000001</v>
      </c>
      <c r="P171" s="84">
        <f t="shared" si="24"/>
        <v>1626.6531600000001</v>
      </c>
      <c r="Q171" s="84">
        <f t="shared" si="24"/>
        <v>1626.6531600000001</v>
      </c>
      <c r="R171" s="84">
        <f t="shared" si="24"/>
        <v>1626.6531600000001</v>
      </c>
      <c r="S171" s="84">
        <f t="shared" si="24"/>
        <v>1626.6531600000001</v>
      </c>
      <c r="T171" s="84">
        <f t="shared" si="24"/>
        <v>1626.6531600000001</v>
      </c>
      <c r="U171" s="84">
        <f t="shared" si="24"/>
        <v>1626.6531600000001</v>
      </c>
      <c r="V171" s="84">
        <f t="shared" ref="V171" si="25">V170*Gas_Price</f>
        <v>1626.6531600000001</v>
      </c>
    </row>
    <row r="172" spans="2:22">
      <c r="D172" s="31"/>
      <c r="E172" s="83" t="s">
        <v>87</v>
      </c>
      <c r="F172" s="74" t="s">
        <v>90</v>
      </c>
      <c r="G172" s="84">
        <f>G170*$F$26</f>
        <v>5.0191383599999995</v>
      </c>
      <c r="H172" s="84">
        <f>H170*$F$26</f>
        <v>5.0191383599999995</v>
      </c>
      <c r="I172" s="84">
        <f t="shared" ref="I172:V172" si="26">I170*$F$26</f>
        <v>5.0191383599999995</v>
      </c>
      <c r="J172" s="84">
        <f t="shared" si="26"/>
        <v>5.0191383599999995</v>
      </c>
      <c r="K172" s="84">
        <f t="shared" si="26"/>
        <v>5.0191383599999995</v>
      </c>
      <c r="L172" s="84">
        <f t="shared" si="26"/>
        <v>5.0191383599999995</v>
      </c>
      <c r="M172" s="84">
        <f t="shared" si="26"/>
        <v>5.0191383599999995</v>
      </c>
      <c r="N172" s="84">
        <f t="shared" si="26"/>
        <v>5.0191383599999995</v>
      </c>
      <c r="O172" s="84">
        <f t="shared" si="26"/>
        <v>5.0191383599999995</v>
      </c>
      <c r="P172" s="84">
        <f t="shared" si="26"/>
        <v>5.0191383599999995</v>
      </c>
      <c r="Q172" s="84">
        <f t="shared" si="26"/>
        <v>5.0191383599999995</v>
      </c>
      <c r="R172" s="84">
        <f t="shared" si="26"/>
        <v>5.0191383599999995</v>
      </c>
      <c r="S172" s="84">
        <f t="shared" si="26"/>
        <v>5.0191383599999995</v>
      </c>
      <c r="T172" s="84">
        <f t="shared" si="26"/>
        <v>5.0191383599999995</v>
      </c>
      <c r="U172" s="84">
        <f t="shared" si="26"/>
        <v>5.0191383599999995</v>
      </c>
      <c r="V172" s="84">
        <f t="shared" si="26"/>
        <v>5.0191383599999995</v>
      </c>
    </row>
    <row r="173" spans="2:22">
      <c r="D173" s="31"/>
      <c r="E173" s="83" t="s">
        <v>147</v>
      </c>
      <c r="F173" s="74" t="s">
        <v>146</v>
      </c>
      <c r="G173" s="84">
        <f t="shared" ref="G173:V173" si="27">IF(G160&lt;=$B$161,$F$27-$F$38,0)</f>
        <v>13.395967199999999</v>
      </c>
      <c r="H173" s="84">
        <f>IF(H160&lt;=$B$161,$F$27-$F$38,0)</f>
        <v>13.395967199999999</v>
      </c>
      <c r="I173" s="84">
        <f t="shared" si="27"/>
        <v>13.395967199999999</v>
      </c>
      <c r="J173" s="84">
        <f t="shared" si="27"/>
        <v>13.395967199999999</v>
      </c>
      <c r="K173" s="84">
        <f t="shared" si="27"/>
        <v>13.395967199999999</v>
      </c>
      <c r="L173" s="84">
        <f t="shared" si="27"/>
        <v>13.395967199999999</v>
      </c>
      <c r="M173" s="84">
        <f t="shared" si="27"/>
        <v>13.395967199999999</v>
      </c>
      <c r="N173" s="84">
        <f t="shared" si="27"/>
        <v>13.395967199999999</v>
      </c>
      <c r="O173" s="84">
        <f t="shared" si="27"/>
        <v>13.395967199999999</v>
      </c>
      <c r="P173" s="84">
        <f t="shared" si="27"/>
        <v>13.395967199999999</v>
      </c>
      <c r="Q173" s="84">
        <f t="shared" si="27"/>
        <v>0</v>
      </c>
      <c r="R173" s="84">
        <f t="shared" si="27"/>
        <v>0</v>
      </c>
      <c r="S173" s="84">
        <f t="shared" si="27"/>
        <v>0</v>
      </c>
      <c r="T173" s="84">
        <f t="shared" si="27"/>
        <v>0</v>
      </c>
      <c r="U173" s="84">
        <f t="shared" si="27"/>
        <v>0</v>
      </c>
      <c r="V173" s="84">
        <f t="shared" si="27"/>
        <v>0</v>
      </c>
    </row>
    <row r="174" spans="2:22">
      <c r="E174" s="22"/>
      <c r="F174" s="10"/>
      <c r="G174" s="22"/>
      <c r="H174" s="22"/>
      <c r="I174" s="22"/>
      <c r="J174" s="22"/>
      <c r="K174" s="22"/>
      <c r="L174" s="22"/>
      <c r="M174" s="22"/>
      <c r="N174" s="22"/>
      <c r="O174" s="22"/>
      <c r="P174" s="22"/>
      <c r="Q174" s="22"/>
      <c r="R174" s="22"/>
      <c r="S174" s="22"/>
      <c r="T174" s="22"/>
      <c r="U174" s="22"/>
      <c r="V174" s="22"/>
    </row>
    <row r="175" spans="2:22">
      <c r="E175" s="83" t="s">
        <v>85</v>
      </c>
      <c r="F175" s="74" t="s">
        <v>44</v>
      </c>
      <c r="G175" s="84">
        <f>IF(G160&lt;=$B$161,-G163-G167+G171,0)</f>
        <v>-106395.00156</v>
      </c>
      <c r="H175" s="84">
        <f>IF(H160&lt;=$B$161,-H163-H167+H171,0)</f>
        <v>4124.9984400000003</v>
      </c>
      <c r="I175" s="84">
        <f t="shared" ref="I175:U175" si="28">IF(I160&lt;=$B$161,-I163-I167+I171,0)</f>
        <v>4124.9984400000003</v>
      </c>
      <c r="J175" s="84">
        <f t="shared" si="28"/>
        <v>4124.9984400000003</v>
      </c>
      <c r="K175" s="84">
        <f t="shared" si="28"/>
        <v>4124.9984400000003</v>
      </c>
      <c r="L175" s="84">
        <f t="shared" si="28"/>
        <v>4124.9984400000003</v>
      </c>
      <c r="M175" s="84">
        <f t="shared" si="28"/>
        <v>4124.9984400000003</v>
      </c>
      <c r="N175" s="84">
        <f t="shared" si="28"/>
        <v>4124.9984400000003</v>
      </c>
      <c r="O175" s="84">
        <f t="shared" si="28"/>
        <v>4124.9984400000003</v>
      </c>
      <c r="P175" s="84">
        <f t="shared" si="28"/>
        <v>4124.9984400000003</v>
      </c>
      <c r="Q175" s="84">
        <f t="shared" si="28"/>
        <v>0</v>
      </c>
      <c r="R175" s="84">
        <f t="shared" si="28"/>
        <v>0</v>
      </c>
      <c r="S175" s="84">
        <f t="shared" si="28"/>
        <v>0</v>
      </c>
      <c r="T175" s="84">
        <f t="shared" si="28"/>
        <v>0</v>
      </c>
      <c r="U175" s="84">
        <f t="shared" si="28"/>
        <v>0</v>
      </c>
      <c r="V175" s="84">
        <f t="shared" ref="V175" si="29">IF(V160&lt;=$B$161,-V163-V167+V171,0)</f>
        <v>0</v>
      </c>
    </row>
    <row r="176" spans="2:22">
      <c r="L176" s="22"/>
      <c r="M176" s="22"/>
      <c r="N176" s="22"/>
      <c r="O176" s="22"/>
      <c r="P176" s="22"/>
      <c r="Q176" s="22"/>
      <c r="R176" s="22"/>
      <c r="S176" s="22"/>
      <c r="T176" s="22"/>
      <c r="U176" s="22"/>
      <c r="V176" s="22"/>
    </row>
    <row r="177" spans="2:22">
      <c r="E177" s="17" t="s">
        <v>278</v>
      </c>
      <c r="L177" s="22"/>
      <c r="M177" s="22"/>
      <c r="N177" s="22"/>
      <c r="O177" s="22"/>
      <c r="P177" s="22"/>
      <c r="Q177" s="22"/>
      <c r="R177" s="22"/>
      <c r="S177" s="22"/>
      <c r="T177" s="22"/>
      <c r="U177" s="22"/>
      <c r="V177" s="22"/>
    </row>
    <row r="178" spans="2:22">
      <c r="E178" s="83" t="s">
        <v>53</v>
      </c>
      <c r="F178" s="95" t="s">
        <v>44</v>
      </c>
      <c r="G178" s="84">
        <f>G163</f>
        <v>108000</v>
      </c>
      <c r="H178" s="26"/>
    </row>
    <row r="179" spans="2:22">
      <c r="E179" s="83" t="s">
        <v>83</v>
      </c>
      <c r="F179" s="95" t="s">
        <v>44</v>
      </c>
      <c r="G179" s="84">
        <f>G175+NPV(Interest_Rate,H175:V175)</f>
        <v>-74648.506518628972</v>
      </c>
      <c r="H179" s="26"/>
      <c r="I179" s="26">
        <f>(G171+NPV(Interest_Rate,H171:V171))</f>
        <v>20698.997495063799</v>
      </c>
    </row>
    <row r="180" spans="2:22">
      <c r="E180" s="83" t="s">
        <v>84</v>
      </c>
      <c r="F180" s="95" t="s">
        <v>148</v>
      </c>
      <c r="G180" s="84">
        <f>-G179/(G173+NPV(Interest_Rate,H173:V173))</f>
        <v>640.79833975949214</v>
      </c>
      <c r="H180" s="26">
        <f>(G173+NPV(Interest_Rate,H173:V173))</f>
        <v>116.49297741103145</v>
      </c>
    </row>
    <row r="181" spans="2:22">
      <c r="E181" s="83" t="s">
        <v>84</v>
      </c>
      <c r="F181" s="95" t="s">
        <v>92</v>
      </c>
      <c r="G181" s="84">
        <f>-G179/NPV(Interest_Rate,G172:V172)</f>
        <v>1206.7787802076616</v>
      </c>
      <c r="H181" s="26">
        <f>(G172+NPV(Interest_Rate,H172:V172))</f>
        <v>63.86802970402038</v>
      </c>
      <c r="I181" s="26"/>
    </row>
    <row r="182" spans="2:22">
      <c r="E182" s="22"/>
      <c r="F182" s="10"/>
      <c r="G182" s="27"/>
      <c r="H182" s="27"/>
    </row>
    <row r="184" spans="2:22" s="113" customFormat="1" ht="22.5" customHeight="1">
      <c r="B184" s="112" t="s">
        <v>231</v>
      </c>
    </row>
    <row r="186" spans="2:22">
      <c r="G186" s="157">
        <v>0</v>
      </c>
      <c r="H186" s="157">
        <v>1</v>
      </c>
      <c r="I186" s="157">
        <v>2</v>
      </c>
      <c r="J186" s="157">
        <v>3</v>
      </c>
      <c r="K186" s="157">
        <v>4</v>
      </c>
      <c r="L186" s="157">
        <v>5</v>
      </c>
      <c r="M186" s="157">
        <v>6</v>
      </c>
      <c r="N186" s="157">
        <v>7</v>
      </c>
      <c r="O186" s="157">
        <v>8</v>
      </c>
      <c r="P186" s="157">
        <v>9</v>
      </c>
      <c r="Q186" s="157">
        <v>10</v>
      </c>
      <c r="R186" s="157">
        <v>11</v>
      </c>
      <c r="S186" s="157">
        <v>12</v>
      </c>
      <c r="T186" s="157">
        <v>13</v>
      </c>
      <c r="U186" s="157">
        <v>14</v>
      </c>
      <c r="V186" s="157">
        <v>15</v>
      </c>
    </row>
    <row r="187" spans="2:22">
      <c r="E187" s="83" t="s">
        <v>77</v>
      </c>
      <c r="F187" s="74" t="s">
        <v>44</v>
      </c>
      <c r="G187" s="84">
        <f>H146</f>
        <v>120000</v>
      </c>
    </row>
    <row r="188" spans="2:22">
      <c r="E188" s="83" t="s">
        <v>78</v>
      </c>
      <c r="F188" s="74" t="s">
        <v>44</v>
      </c>
      <c r="G188" s="84">
        <f>F104</f>
        <v>0</v>
      </c>
    </row>
    <row r="189" spans="2:22">
      <c r="E189" s="77" t="s">
        <v>81</v>
      </c>
      <c r="F189" s="74" t="s">
        <v>44</v>
      </c>
      <c r="G189" s="90">
        <f>G187-G188</f>
        <v>120000</v>
      </c>
    </row>
    <row r="191" spans="2:22">
      <c r="E191" s="83" t="s">
        <v>79</v>
      </c>
      <c r="F191" s="74" t="s">
        <v>44</v>
      </c>
      <c r="G191" s="84">
        <f>G155</f>
        <v>1734.3947392820094</v>
      </c>
      <c r="H191" s="84">
        <f t="shared" ref="H191:V191" si="30">I155</f>
        <v>3014.3947392820091</v>
      </c>
      <c r="I191" s="84">
        <f t="shared" si="30"/>
        <v>3014.3947392820091</v>
      </c>
      <c r="J191" s="84">
        <f t="shared" si="30"/>
        <v>3014.3947392820091</v>
      </c>
      <c r="K191" s="84">
        <f t="shared" si="30"/>
        <v>3014.3947392820091</v>
      </c>
      <c r="L191" s="84">
        <f t="shared" si="30"/>
        <v>11734.39473928201</v>
      </c>
      <c r="M191" s="84">
        <f t="shared" si="30"/>
        <v>3014.3947392820091</v>
      </c>
      <c r="N191" s="84">
        <f t="shared" si="30"/>
        <v>3014.3947392820091</v>
      </c>
      <c r="O191" s="84">
        <f t="shared" si="30"/>
        <v>3014.3947392820091</v>
      </c>
      <c r="P191" s="84">
        <f t="shared" si="30"/>
        <v>3014.3947392820091</v>
      </c>
      <c r="Q191" s="84">
        <f t="shared" si="30"/>
        <v>3014.3947392820091</v>
      </c>
      <c r="R191" s="84">
        <f t="shared" si="30"/>
        <v>11734.39473928201</v>
      </c>
      <c r="S191" s="84">
        <f t="shared" si="30"/>
        <v>3014.3947392820091</v>
      </c>
      <c r="T191" s="84">
        <f t="shared" si="30"/>
        <v>3014.3947392820091</v>
      </c>
      <c r="U191" s="84">
        <f t="shared" si="30"/>
        <v>3014.3947392820091</v>
      </c>
      <c r="V191" s="84">
        <f t="shared" si="30"/>
        <v>0</v>
      </c>
    </row>
    <row r="192" spans="2:22">
      <c r="E192" s="83" t="s">
        <v>80</v>
      </c>
      <c r="F192" s="74" t="s">
        <v>44</v>
      </c>
      <c r="G192" s="84">
        <f t="shared" ref="G192:V192" si="31">G115</f>
        <v>0</v>
      </c>
      <c r="H192" s="84">
        <f t="shared" si="31"/>
        <v>4200</v>
      </c>
      <c r="I192" s="84">
        <f t="shared" si="31"/>
        <v>4200</v>
      </c>
      <c r="J192" s="84">
        <f t="shared" si="31"/>
        <v>4200</v>
      </c>
      <c r="K192" s="84">
        <f t="shared" si="31"/>
        <v>4200</v>
      </c>
      <c r="L192" s="84">
        <f t="shared" si="31"/>
        <v>4200</v>
      </c>
      <c r="M192" s="84">
        <f t="shared" si="31"/>
        <v>4200</v>
      </c>
      <c r="N192" s="84">
        <f t="shared" si="31"/>
        <v>4200</v>
      </c>
      <c r="O192" s="84">
        <f t="shared" si="31"/>
        <v>4200</v>
      </c>
      <c r="P192" s="84">
        <f t="shared" si="31"/>
        <v>4200</v>
      </c>
      <c r="Q192" s="84">
        <f t="shared" si="31"/>
        <v>4200</v>
      </c>
      <c r="R192" s="84">
        <f t="shared" si="31"/>
        <v>4200</v>
      </c>
      <c r="S192" s="84">
        <f t="shared" si="31"/>
        <v>4200</v>
      </c>
      <c r="T192" s="84">
        <f t="shared" si="31"/>
        <v>4200</v>
      </c>
      <c r="U192" s="84">
        <f t="shared" si="31"/>
        <v>4200</v>
      </c>
      <c r="V192" s="84">
        <f t="shared" si="31"/>
        <v>4200</v>
      </c>
    </row>
    <row r="193" spans="5:22">
      <c r="E193" s="77" t="s">
        <v>81</v>
      </c>
      <c r="F193" s="74" t="s">
        <v>44</v>
      </c>
      <c r="G193" s="90">
        <f>G191-G192</f>
        <v>1734.3947392820094</v>
      </c>
      <c r="H193" s="90">
        <f t="shared" ref="H193:U193" si="32">H191-H192</f>
        <v>-1185.6052607179909</v>
      </c>
      <c r="I193" s="90">
        <f t="shared" si="32"/>
        <v>-1185.6052607179909</v>
      </c>
      <c r="J193" s="90">
        <f t="shared" si="32"/>
        <v>-1185.6052607179909</v>
      </c>
      <c r="K193" s="90">
        <f t="shared" si="32"/>
        <v>-1185.6052607179909</v>
      </c>
      <c r="L193" s="90">
        <f t="shared" si="32"/>
        <v>7534.3947392820101</v>
      </c>
      <c r="M193" s="90">
        <f t="shared" si="32"/>
        <v>-1185.6052607179909</v>
      </c>
      <c r="N193" s="90">
        <f t="shared" si="32"/>
        <v>-1185.6052607179909</v>
      </c>
      <c r="O193" s="90">
        <f t="shared" si="32"/>
        <v>-1185.6052607179909</v>
      </c>
      <c r="P193" s="90">
        <f t="shared" si="32"/>
        <v>-1185.6052607179909</v>
      </c>
      <c r="Q193" s="90">
        <f t="shared" si="32"/>
        <v>-1185.6052607179909</v>
      </c>
      <c r="R193" s="90">
        <f t="shared" si="32"/>
        <v>7534.3947392820101</v>
      </c>
      <c r="S193" s="90">
        <f t="shared" si="32"/>
        <v>-1185.6052607179909</v>
      </c>
      <c r="T193" s="90">
        <f t="shared" si="32"/>
        <v>-1185.6052607179909</v>
      </c>
      <c r="U193" s="90">
        <f t="shared" si="32"/>
        <v>-1185.6052607179909</v>
      </c>
      <c r="V193" s="90">
        <f t="shared" ref="V193" si="33">V191-V192</f>
        <v>-4200</v>
      </c>
    </row>
    <row r="194" spans="5:22">
      <c r="E194" s="83" t="s">
        <v>89</v>
      </c>
      <c r="F194" s="74" t="s">
        <v>44</v>
      </c>
      <c r="G194" s="84">
        <f>G193+G189</f>
        <v>121734.39473928201</v>
      </c>
      <c r="H194" s="84">
        <f t="shared" ref="H194:U194" si="34">H193+H189</f>
        <v>-1185.6052607179909</v>
      </c>
      <c r="I194" s="84">
        <f t="shared" si="34"/>
        <v>-1185.6052607179909</v>
      </c>
      <c r="J194" s="84">
        <f t="shared" si="34"/>
        <v>-1185.6052607179909</v>
      </c>
      <c r="K194" s="84">
        <f t="shared" si="34"/>
        <v>-1185.6052607179909</v>
      </c>
      <c r="L194" s="84">
        <f t="shared" si="34"/>
        <v>7534.3947392820101</v>
      </c>
      <c r="M194" s="84">
        <f t="shared" si="34"/>
        <v>-1185.6052607179909</v>
      </c>
      <c r="N194" s="84">
        <f t="shared" si="34"/>
        <v>-1185.6052607179909</v>
      </c>
      <c r="O194" s="84">
        <f t="shared" si="34"/>
        <v>-1185.6052607179909</v>
      </c>
      <c r="P194" s="84">
        <f t="shared" si="34"/>
        <v>-1185.6052607179909</v>
      </c>
      <c r="Q194" s="84">
        <f t="shared" si="34"/>
        <v>-1185.6052607179909</v>
      </c>
      <c r="R194" s="84">
        <f t="shared" si="34"/>
        <v>7534.3947392820101</v>
      </c>
      <c r="S194" s="84">
        <f t="shared" si="34"/>
        <v>-1185.6052607179909</v>
      </c>
      <c r="T194" s="84">
        <f t="shared" si="34"/>
        <v>-1185.6052607179909</v>
      </c>
      <c r="U194" s="84">
        <f t="shared" si="34"/>
        <v>-1185.6052607179909</v>
      </c>
      <c r="V194" s="84">
        <f t="shared" ref="V194" si="35">V193+V189</f>
        <v>-4200</v>
      </c>
    </row>
    <row r="196" spans="5:22">
      <c r="E196" s="83" t="s">
        <v>82</v>
      </c>
      <c r="F196" s="74" t="s">
        <v>42</v>
      </c>
      <c r="G196" s="84">
        <f>$F$24</f>
        <v>869.86799999999994</v>
      </c>
      <c r="H196" s="84">
        <f>$F$24</f>
        <v>869.86799999999994</v>
      </c>
      <c r="I196" s="84">
        <f t="shared" ref="I196:V196" si="36">$F$24</f>
        <v>869.86799999999994</v>
      </c>
      <c r="J196" s="84">
        <f t="shared" si="36"/>
        <v>869.86799999999994</v>
      </c>
      <c r="K196" s="84">
        <f t="shared" si="36"/>
        <v>869.86799999999994</v>
      </c>
      <c r="L196" s="84">
        <f t="shared" si="36"/>
        <v>869.86799999999994</v>
      </c>
      <c r="M196" s="84">
        <f t="shared" si="36"/>
        <v>869.86799999999994</v>
      </c>
      <c r="N196" s="84">
        <f t="shared" si="36"/>
        <v>869.86799999999994</v>
      </c>
      <c r="O196" s="84">
        <f t="shared" si="36"/>
        <v>869.86799999999994</v>
      </c>
      <c r="P196" s="84">
        <f t="shared" si="36"/>
        <v>869.86799999999994</v>
      </c>
      <c r="Q196" s="84">
        <f t="shared" si="36"/>
        <v>869.86799999999994</v>
      </c>
      <c r="R196" s="84">
        <f t="shared" si="36"/>
        <v>869.86799999999994</v>
      </c>
      <c r="S196" s="84">
        <f t="shared" si="36"/>
        <v>869.86799999999994</v>
      </c>
      <c r="T196" s="84">
        <f t="shared" si="36"/>
        <v>869.86799999999994</v>
      </c>
      <c r="U196" s="84">
        <f t="shared" si="36"/>
        <v>869.86799999999994</v>
      </c>
      <c r="V196" s="84">
        <f t="shared" si="36"/>
        <v>869.86799999999994</v>
      </c>
    </row>
    <row r="197" spans="5:22">
      <c r="E197" s="83" t="s">
        <v>82</v>
      </c>
      <c r="F197" s="74" t="s">
        <v>44</v>
      </c>
      <c r="G197" s="84">
        <f>G196*Gas_Price</f>
        <v>1626.6531600000001</v>
      </c>
      <c r="H197" s="84">
        <f t="shared" ref="H197" si="37">H196*Gas_Price</f>
        <v>1626.6531600000001</v>
      </c>
      <c r="I197" s="84">
        <f t="shared" ref="I197" si="38">I196*Gas_Price</f>
        <v>1626.6531600000001</v>
      </c>
      <c r="J197" s="84">
        <f t="shared" ref="J197" si="39">J196*Gas_Price</f>
        <v>1626.6531600000001</v>
      </c>
      <c r="K197" s="84">
        <f t="shared" ref="K197" si="40">K196*Gas_Price</f>
        <v>1626.6531600000001</v>
      </c>
      <c r="L197" s="84">
        <f t="shared" ref="L197" si="41">L196*Gas_Price</f>
        <v>1626.6531600000001</v>
      </c>
      <c r="M197" s="84">
        <f t="shared" ref="M197" si="42">M196*Gas_Price</f>
        <v>1626.6531600000001</v>
      </c>
      <c r="N197" s="84">
        <f t="shared" ref="N197" si="43">N196*Gas_Price</f>
        <v>1626.6531600000001</v>
      </c>
      <c r="O197" s="84">
        <f t="shared" ref="O197" si="44">O196*Gas_Price</f>
        <v>1626.6531600000001</v>
      </c>
      <c r="P197" s="84">
        <f t="shared" ref="P197" si="45">P196*Gas_Price</f>
        <v>1626.6531600000001</v>
      </c>
      <c r="Q197" s="84">
        <f t="shared" ref="Q197" si="46">Q196*Gas_Price</f>
        <v>1626.6531600000001</v>
      </c>
      <c r="R197" s="84">
        <f t="shared" ref="R197" si="47">R196*Gas_Price</f>
        <v>1626.6531600000001</v>
      </c>
      <c r="S197" s="84">
        <f t="shared" ref="S197" si="48">S196*Gas_Price</f>
        <v>1626.6531600000001</v>
      </c>
      <c r="T197" s="84">
        <f t="shared" ref="T197" si="49">T196*Gas_Price</f>
        <v>1626.6531600000001</v>
      </c>
      <c r="U197" s="84">
        <f t="shared" ref="U197:V197" si="50">U196*Gas_Price</f>
        <v>1626.6531600000001</v>
      </c>
      <c r="V197" s="84">
        <f t="shared" si="50"/>
        <v>1626.6531600000001</v>
      </c>
    </row>
    <row r="198" spans="5:22">
      <c r="E198" s="83" t="s">
        <v>87</v>
      </c>
      <c r="F198" s="74" t="s">
        <v>88</v>
      </c>
      <c r="G198" s="84">
        <f>G196*$F$26</f>
        <v>5.0191383599999995</v>
      </c>
      <c r="H198" s="84">
        <f t="shared" ref="H198:V198" si="51">H196*$F$26</f>
        <v>5.0191383599999995</v>
      </c>
      <c r="I198" s="84">
        <f t="shared" si="51"/>
        <v>5.0191383599999995</v>
      </c>
      <c r="J198" s="84">
        <f t="shared" si="51"/>
        <v>5.0191383599999995</v>
      </c>
      <c r="K198" s="84">
        <f t="shared" si="51"/>
        <v>5.0191383599999995</v>
      </c>
      <c r="L198" s="84">
        <f t="shared" si="51"/>
        <v>5.0191383599999995</v>
      </c>
      <c r="M198" s="84">
        <f t="shared" si="51"/>
        <v>5.0191383599999995</v>
      </c>
      <c r="N198" s="84">
        <f t="shared" si="51"/>
        <v>5.0191383599999995</v>
      </c>
      <c r="O198" s="84">
        <f t="shared" si="51"/>
        <v>5.0191383599999995</v>
      </c>
      <c r="P198" s="84">
        <f t="shared" si="51"/>
        <v>5.0191383599999995</v>
      </c>
      <c r="Q198" s="84">
        <f t="shared" si="51"/>
        <v>5.0191383599999995</v>
      </c>
      <c r="R198" s="84">
        <f t="shared" si="51"/>
        <v>5.0191383599999995</v>
      </c>
      <c r="S198" s="84">
        <f t="shared" si="51"/>
        <v>5.0191383599999995</v>
      </c>
      <c r="T198" s="84">
        <f t="shared" si="51"/>
        <v>5.0191383599999995</v>
      </c>
      <c r="U198" s="84">
        <f t="shared" si="51"/>
        <v>5.0191383599999995</v>
      </c>
      <c r="V198" s="84">
        <f t="shared" si="51"/>
        <v>5.0191383599999995</v>
      </c>
    </row>
    <row r="199" spans="5:22">
      <c r="E199" s="83" t="s">
        <v>147</v>
      </c>
      <c r="F199" s="74" t="s">
        <v>146</v>
      </c>
      <c r="G199" s="84">
        <f t="shared" ref="G199:V199" si="52">IF(G160&lt;$B$161,$F$27,0)</f>
        <v>13.395967199999999</v>
      </c>
      <c r="H199" s="84">
        <f t="shared" si="52"/>
        <v>13.395967199999999</v>
      </c>
      <c r="I199" s="84">
        <f t="shared" si="52"/>
        <v>13.395967199999999</v>
      </c>
      <c r="J199" s="84">
        <f t="shared" si="52"/>
        <v>13.395967199999999</v>
      </c>
      <c r="K199" s="84">
        <f t="shared" si="52"/>
        <v>13.395967199999999</v>
      </c>
      <c r="L199" s="84">
        <f t="shared" si="52"/>
        <v>13.395967199999999</v>
      </c>
      <c r="M199" s="84">
        <f t="shared" si="52"/>
        <v>13.395967199999999</v>
      </c>
      <c r="N199" s="84">
        <f t="shared" si="52"/>
        <v>13.395967199999999</v>
      </c>
      <c r="O199" s="84">
        <f t="shared" si="52"/>
        <v>13.395967199999999</v>
      </c>
      <c r="P199" s="84">
        <f t="shared" si="52"/>
        <v>0</v>
      </c>
      <c r="Q199" s="84">
        <f t="shared" si="52"/>
        <v>0</v>
      </c>
      <c r="R199" s="84">
        <f t="shared" si="52"/>
        <v>0</v>
      </c>
      <c r="S199" s="84">
        <f t="shared" si="52"/>
        <v>0</v>
      </c>
      <c r="T199" s="84">
        <f t="shared" si="52"/>
        <v>0</v>
      </c>
      <c r="U199" s="84">
        <f t="shared" si="52"/>
        <v>0</v>
      </c>
      <c r="V199" s="84">
        <f t="shared" si="52"/>
        <v>0</v>
      </c>
    </row>
    <row r="200" spans="5:22">
      <c r="E200" s="22"/>
      <c r="F200" s="10"/>
      <c r="G200" s="22"/>
      <c r="H200" s="22"/>
      <c r="I200" s="22"/>
      <c r="J200" s="22"/>
      <c r="K200" s="22"/>
      <c r="L200" s="22"/>
      <c r="M200" s="22"/>
      <c r="N200" s="22"/>
      <c r="O200" s="22"/>
      <c r="P200" s="22"/>
      <c r="Q200" s="22"/>
      <c r="R200" s="22"/>
      <c r="S200" s="22"/>
      <c r="T200" s="22"/>
      <c r="U200" s="22"/>
      <c r="V200" s="22"/>
    </row>
    <row r="201" spans="5:22">
      <c r="E201" s="83" t="s">
        <v>85</v>
      </c>
      <c r="F201" s="74" t="s">
        <v>44</v>
      </c>
      <c r="G201" s="84">
        <f>IF(G186&lt;=$B$161,-G189-G193+G197,0)</f>
        <v>-120107.74157928201</v>
      </c>
      <c r="H201" s="84">
        <f t="shared" ref="H201:V201" si="53">IF(H186&lt;=$B$161,-H189-H193+H197,0)</f>
        <v>2812.2584207179907</v>
      </c>
      <c r="I201" s="84">
        <f t="shared" si="53"/>
        <v>2812.2584207179907</v>
      </c>
      <c r="J201" s="84">
        <f t="shared" si="53"/>
        <v>2812.2584207179907</v>
      </c>
      <c r="K201" s="84">
        <f t="shared" si="53"/>
        <v>2812.2584207179907</v>
      </c>
      <c r="L201" s="84">
        <f t="shared" si="53"/>
        <v>-5907.7415792820102</v>
      </c>
      <c r="M201" s="84">
        <f t="shared" si="53"/>
        <v>2812.2584207179907</v>
      </c>
      <c r="N201" s="84">
        <f t="shared" si="53"/>
        <v>2812.2584207179907</v>
      </c>
      <c r="O201" s="84">
        <f t="shared" si="53"/>
        <v>2812.2584207179907</v>
      </c>
      <c r="P201" s="84">
        <f t="shared" si="53"/>
        <v>2812.2584207179907</v>
      </c>
      <c r="Q201" s="84">
        <f>IF(Q186&lt;=$B$161,-Q189-Q193+Q197,0)</f>
        <v>0</v>
      </c>
      <c r="R201" s="84">
        <f t="shared" si="53"/>
        <v>0</v>
      </c>
      <c r="S201" s="84">
        <f t="shared" si="53"/>
        <v>0</v>
      </c>
      <c r="T201" s="84">
        <f t="shared" si="53"/>
        <v>0</v>
      </c>
      <c r="U201" s="84">
        <f t="shared" si="53"/>
        <v>0</v>
      </c>
      <c r="V201" s="84">
        <f t="shared" si="53"/>
        <v>0</v>
      </c>
    </row>
    <row r="203" spans="5:22">
      <c r="E203" s="17" t="s">
        <v>278</v>
      </c>
    </row>
    <row r="204" spans="5:22">
      <c r="E204" s="83" t="s">
        <v>53</v>
      </c>
      <c r="F204" s="74" t="s">
        <v>44</v>
      </c>
      <c r="G204" s="84">
        <f>G189</f>
        <v>120000</v>
      </c>
      <c r="H204" s="26"/>
    </row>
    <row r="205" spans="5:22">
      <c r="E205" s="83" t="s">
        <v>83</v>
      </c>
      <c r="F205" s="74" t="s">
        <v>44</v>
      </c>
      <c r="G205" s="84">
        <f>G201+NPV(Interest_Rate,H201:U201)</f>
        <v>-105895.57886090907</v>
      </c>
      <c r="H205" s="26"/>
      <c r="I205" s="26">
        <f>(G197+NPV(Interest_Rate,H197:V197))</f>
        <v>20698.997495063799</v>
      </c>
    </row>
    <row r="206" spans="5:22">
      <c r="E206" s="83" t="s">
        <v>84</v>
      </c>
      <c r="F206" s="74" t="s">
        <v>148</v>
      </c>
      <c r="G206" s="84">
        <f>-G205/(G199+NPV(Interest_Rate,H199:V199))</f>
        <v>994.81356221264855</v>
      </c>
      <c r="H206" s="26">
        <f>(G199+NPV(Interest_Rate,H199:V199))</f>
        <v>106.44766304288997</v>
      </c>
    </row>
    <row r="207" spans="5:22">
      <c r="E207" s="83" t="s">
        <v>84</v>
      </c>
      <c r="F207" s="74" t="s">
        <v>92</v>
      </c>
      <c r="G207" s="84">
        <f>-G205/NPV(Interest_Rate,G198:U198)</f>
        <v>1799.4490030723252</v>
      </c>
      <c r="H207" s="26">
        <f>(G198+NPV(Interest_Rate,H198:V198))</f>
        <v>63.86802970402038</v>
      </c>
    </row>
    <row r="209" spans="2:22" hidden="1" outlineLevel="1"/>
    <row r="210" spans="2:22" s="113" customFormat="1" ht="22.5" hidden="1" customHeight="1" outlineLevel="1">
      <c r="B210" s="112" t="s">
        <v>232</v>
      </c>
    </row>
    <row r="211" spans="2:22" hidden="1" outlineLevel="1">
      <c r="F211" s="106"/>
    </row>
    <row r="212" spans="2:22" hidden="1" outlineLevel="1">
      <c r="E212" s="77" t="s">
        <v>53</v>
      </c>
      <c r="F212" s="74" t="s">
        <v>44</v>
      </c>
      <c r="G212" s="90">
        <f>G163</f>
        <v>108000</v>
      </c>
    </row>
    <row r="213" spans="2:22" hidden="1" outlineLevel="1">
      <c r="C213" s="106"/>
      <c r="E213" s="77" t="s">
        <v>54</v>
      </c>
      <c r="F213" s="74" t="s">
        <v>44</v>
      </c>
      <c r="G213" s="90">
        <f t="shared" ref="G213:V213" si="54">G167</f>
        <v>21.654719999999998</v>
      </c>
      <c r="H213" s="90">
        <f t="shared" si="54"/>
        <v>-2498.34528</v>
      </c>
      <c r="I213" s="90">
        <f t="shared" si="54"/>
        <v>-2498.34528</v>
      </c>
      <c r="J213" s="90">
        <f t="shared" si="54"/>
        <v>-2498.34528</v>
      </c>
      <c r="K213" s="90">
        <f t="shared" si="54"/>
        <v>-2498.34528</v>
      </c>
      <c r="L213" s="90">
        <f t="shared" si="54"/>
        <v>-2498.34528</v>
      </c>
      <c r="M213" s="90">
        <f t="shared" si="54"/>
        <v>-2498.34528</v>
      </c>
      <c r="N213" s="90">
        <f t="shared" si="54"/>
        <v>-2498.34528</v>
      </c>
      <c r="O213" s="90">
        <f t="shared" si="54"/>
        <v>-2498.34528</v>
      </c>
      <c r="P213" s="90">
        <f t="shared" si="54"/>
        <v>-2498.34528</v>
      </c>
      <c r="Q213" s="90">
        <f t="shared" si="54"/>
        <v>-2498.34528</v>
      </c>
      <c r="R213" s="90">
        <f t="shared" si="54"/>
        <v>-2498.34528</v>
      </c>
      <c r="S213" s="90">
        <f t="shared" si="54"/>
        <v>-2498.34528</v>
      </c>
      <c r="T213" s="90">
        <f t="shared" si="54"/>
        <v>-2498.34528</v>
      </c>
      <c r="U213" s="90">
        <f t="shared" si="54"/>
        <v>-2498.34528</v>
      </c>
      <c r="V213" s="23">
        <f t="shared" si="54"/>
        <v>-2498.34528</v>
      </c>
    </row>
    <row r="214" spans="2:22" hidden="1" outlineLevel="1">
      <c r="B214" s="2" t="s">
        <v>158</v>
      </c>
      <c r="C214" s="107">
        <v>83.832190195130735</v>
      </c>
      <c r="E214" s="77" t="s">
        <v>157</v>
      </c>
      <c r="F214" s="74" t="s">
        <v>158</v>
      </c>
      <c r="G214" s="90">
        <f>$C$214</f>
        <v>83.832190195130735</v>
      </c>
      <c r="H214" s="90">
        <f t="shared" ref="H214:V214" si="55">$C$214</f>
        <v>83.832190195130735</v>
      </c>
      <c r="I214" s="90">
        <f t="shared" si="55"/>
        <v>83.832190195130735</v>
      </c>
      <c r="J214" s="90">
        <f t="shared" si="55"/>
        <v>83.832190195130735</v>
      </c>
      <c r="K214" s="90">
        <f t="shared" si="55"/>
        <v>83.832190195130735</v>
      </c>
      <c r="L214" s="90">
        <f t="shared" si="55"/>
        <v>83.832190195130735</v>
      </c>
      <c r="M214" s="90">
        <f t="shared" si="55"/>
        <v>83.832190195130735</v>
      </c>
      <c r="N214" s="90">
        <f t="shared" si="55"/>
        <v>83.832190195130735</v>
      </c>
      <c r="O214" s="90">
        <f t="shared" si="55"/>
        <v>83.832190195130735</v>
      </c>
      <c r="P214" s="90">
        <f t="shared" si="55"/>
        <v>83.832190195130735</v>
      </c>
      <c r="Q214" s="90">
        <f t="shared" si="55"/>
        <v>83.832190195130735</v>
      </c>
      <c r="R214" s="90">
        <f t="shared" si="55"/>
        <v>83.832190195130735</v>
      </c>
      <c r="S214" s="90">
        <f t="shared" si="55"/>
        <v>83.832190195130735</v>
      </c>
      <c r="T214" s="90">
        <f t="shared" si="55"/>
        <v>83.832190195130735</v>
      </c>
      <c r="U214" s="90">
        <f t="shared" si="55"/>
        <v>83.832190195130735</v>
      </c>
      <c r="V214" s="90">
        <f t="shared" si="55"/>
        <v>83.832190195130735</v>
      </c>
    </row>
    <row r="215" spans="2:22" hidden="1" outlineLevel="1">
      <c r="C215" s="33"/>
      <c r="E215" s="83" t="s">
        <v>157</v>
      </c>
      <c r="F215" s="74" t="s">
        <v>44</v>
      </c>
      <c r="G215" s="83">
        <f t="shared" ref="G215:V215" si="56">G214*Gas_Price</f>
        <v>156.7661956648945</v>
      </c>
      <c r="H215" s="83">
        <f t="shared" si="56"/>
        <v>156.7661956648945</v>
      </c>
      <c r="I215" s="83">
        <f t="shared" si="56"/>
        <v>156.7661956648945</v>
      </c>
      <c r="J215" s="83">
        <f t="shared" si="56"/>
        <v>156.7661956648945</v>
      </c>
      <c r="K215" s="83">
        <f t="shared" si="56"/>
        <v>156.7661956648945</v>
      </c>
      <c r="L215" s="83">
        <f t="shared" si="56"/>
        <v>156.7661956648945</v>
      </c>
      <c r="M215" s="83">
        <f t="shared" si="56"/>
        <v>156.7661956648945</v>
      </c>
      <c r="N215" s="83">
        <f t="shared" si="56"/>
        <v>156.7661956648945</v>
      </c>
      <c r="O215" s="83">
        <f t="shared" si="56"/>
        <v>156.7661956648945</v>
      </c>
      <c r="P215" s="83">
        <f t="shared" si="56"/>
        <v>156.7661956648945</v>
      </c>
      <c r="Q215" s="83">
        <f t="shared" si="56"/>
        <v>156.7661956648945</v>
      </c>
      <c r="R215" s="83">
        <f t="shared" si="56"/>
        <v>156.7661956648945</v>
      </c>
      <c r="S215" s="83">
        <f t="shared" si="56"/>
        <v>156.7661956648945</v>
      </c>
      <c r="T215" s="83">
        <f t="shared" si="56"/>
        <v>156.7661956648945</v>
      </c>
      <c r="U215" s="83">
        <f t="shared" si="56"/>
        <v>156.7661956648945</v>
      </c>
      <c r="V215" s="83">
        <f t="shared" si="56"/>
        <v>156.7661956648945</v>
      </c>
    </row>
    <row r="216" spans="2:22" hidden="1" outlineLevel="1">
      <c r="C216" s="33"/>
      <c r="E216" s="83" t="s">
        <v>162</v>
      </c>
      <c r="F216" s="74" t="s">
        <v>44</v>
      </c>
      <c r="G216" s="84">
        <f t="shared" ref="G216:V216" si="57">IF(G160&lt;=$B$161,G215-G213-G212,0)</f>
        <v>-107864.88852433511</v>
      </c>
      <c r="H216" s="84">
        <f t="shared" si="57"/>
        <v>2655.1114756648944</v>
      </c>
      <c r="I216" s="84">
        <f t="shared" si="57"/>
        <v>2655.1114756648944</v>
      </c>
      <c r="J216" s="84">
        <f t="shared" si="57"/>
        <v>2655.1114756648944</v>
      </c>
      <c r="K216" s="84">
        <f t="shared" si="57"/>
        <v>2655.1114756648944</v>
      </c>
      <c r="L216" s="84">
        <f t="shared" si="57"/>
        <v>2655.1114756648944</v>
      </c>
      <c r="M216" s="84">
        <f t="shared" si="57"/>
        <v>2655.1114756648944</v>
      </c>
      <c r="N216" s="84">
        <f t="shared" si="57"/>
        <v>2655.1114756648944</v>
      </c>
      <c r="O216" s="84">
        <f t="shared" si="57"/>
        <v>2655.1114756648944</v>
      </c>
      <c r="P216" s="84">
        <f t="shared" si="57"/>
        <v>2655.1114756648944</v>
      </c>
      <c r="Q216" s="84">
        <f t="shared" si="57"/>
        <v>0</v>
      </c>
      <c r="R216" s="84">
        <f t="shared" si="57"/>
        <v>0</v>
      </c>
      <c r="S216" s="84">
        <f t="shared" si="57"/>
        <v>0</v>
      </c>
      <c r="T216" s="84">
        <f t="shared" si="57"/>
        <v>0</v>
      </c>
      <c r="U216" s="84">
        <f t="shared" si="57"/>
        <v>0</v>
      </c>
      <c r="V216" s="84">
        <f t="shared" si="57"/>
        <v>0</v>
      </c>
    </row>
    <row r="217" spans="2:22" hidden="1" outlineLevel="1">
      <c r="C217" s="33"/>
      <c r="E217" s="83" t="s">
        <v>83</v>
      </c>
      <c r="F217" s="74" t="s">
        <v>44</v>
      </c>
      <c r="G217" s="84">
        <f>G216+NPV(Interest_Rate,H216:V216)</f>
        <v>-87430.824239820402</v>
      </c>
      <c r="H217" s="22"/>
      <c r="I217" s="22"/>
      <c r="J217" s="22"/>
      <c r="K217" s="22"/>
      <c r="L217" s="22"/>
      <c r="M217" s="22"/>
      <c r="N217" s="22"/>
      <c r="O217" s="22"/>
      <c r="P217" s="22"/>
      <c r="Q217" s="22"/>
      <c r="R217" s="22"/>
      <c r="S217" s="22"/>
      <c r="T217" s="22"/>
      <c r="U217" s="22"/>
      <c r="V217" s="22"/>
    </row>
    <row r="218" spans="2:22" hidden="1" outlineLevel="1">
      <c r="C218" s="33"/>
      <c r="E218" s="83" t="s">
        <v>147</v>
      </c>
      <c r="F218" s="74" t="s">
        <v>146</v>
      </c>
      <c r="G218" s="104">
        <f t="shared" ref="G218:V218" si="58">IF(G160&lt;=$B$161,G214*$F$25,0)</f>
        <v>1.2910157290050133</v>
      </c>
      <c r="H218" s="104">
        <f t="shared" si="58"/>
        <v>1.2910157290050133</v>
      </c>
      <c r="I218" s="104">
        <f t="shared" si="58"/>
        <v>1.2910157290050133</v>
      </c>
      <c r="J218" s="104">
        <f t="shared" si="58"/>
        <v>1.2910157290050133</v>
      </c>
      <c r="K218" s="104">
        <f t="shared" si="58"/>
        <v>1.2910157290050133</v>
      </c>
      <c r="L218" s="104">
        <f t="shared" si="58"/>
        <v>1.2910157290050133</v>
      </c>
      <c r="M218" s="104">
        <f t="shared" si="58"/>
        <v>1.2910157290050133</v>
      </c>
      <c r="N218" s="104">
        <f t="shared" si="58"/>
        <v>1.2910157290050133</v>
      </c>
      <c r="O218" s="104">
        <f t="shared" si="58"/>
        <v>1.2910157290050133</v>
      </c>
      <c r="P218" s="104">
        <f t="shared" si="58"/>
        <v>1.2910157290050133</v>
      </c>
      <c r="Q218" s="104">
        <f t="shared" si="58"/>
        <v>0</v>
      </c>
      <c r="R218" s="104">
        <f t="shared" si="58"/>
        <v>0</v>
      </c>
      <c r="S218" s="104">
        <f t="shared" si="58"/>
        <v>0</v>
      </c>
      <c r="T218" s="104">
        <f t="shared" si="58"/>
        <v>0</v>
      </c>
      <c r="U218" s="104">
        <f t="shared" si="58"/>
        <v>0</v>
      </c>
      <c r="V218" s="104">
        <f t="shared" si="58"/>
        <v>0</v>
      </c>
    </row>
    <row r="219" spans="2:22" hidden="1" outlineLevel="1">
      <c r="E219" s="83" t="s">
        <v>149</v>
      </c>
      <c r="F219" s="74" t="s">
        <v>148</v>
      </c>
      <c r="G219" s="84">
        <f>-G217/(G218+NPV(Interest_Rate,H218:V218))</f>
        <v>7787.6669351785067</v>
      </c>
    </row>
    <row r="220" spans="2:22" hidden="1" outlineLevel="1"/>
    <row r="221" spans="2:22" hidden="1" outlineLevel="1">
      <c r="G221" s="84">
        <f t="shared" ref="G221:V221" si="59">IF(G160&lt;=$B$161,1,0)</f>
        <v>1</v>
      </c>
      <c r="H221" s="84">
        <f t="shared" si="59"/>
        <v>1</v>
      </c>
      <c r="I221" s="84">
        <f t="shared" si="59"/>
        <v>1</v>
      </c>
      <c r="J221" s="84">
        <f t="shared" si="59"/>
        <v>1</v>
      </c>
      <c r="K221" s="84">
        <f t="shared" si="59"/>
        <v>1</v>
      </c>
      <c r="L221" s="84">
        <f t="shared" si="59"/>
        <v>1</v>
      </c>
      <c r="M221" s="84">
        <f t="shared" si="59"/>
        <v>1</v>
      </c>
      <c r="N221" s="84">
        <f t="shared" si="59"/>
        <v>1</v>
      </c>
      <c r="O221" s="84">
        <f t="shared" si="59"/>
        <v>1</v>
      </c>
      <c r="P221" s="84">
        <f t="shared" si="59"/>
        <v>1</v>
      </c>
      <c r="Q221" s="84">
        <f t="shared" si="59"/>
        <v>0</v>
      </c>
      <c r="R221" s="84">
        <f t="shared" si="59"/>
        <v>0</v>
      </c>
      <c r="S221" s="84">
        <f t="shared" si="59"/>
        <v>0</v>
      </c>
      <c r="T221" s="84">
        <f t="shared" si="59"/>
        <v>0</v>
      </c>
      <c r="U221" s="84">
        <f t="shared" si="59"/>
        <v>0</v>
      </c>
      <c r="V221" s="84">
        <f t="shared" si="59"/>
        <v>0</v>
      </c>
    </row>
    <row r="222" spans="2:22" hidden="1" outlineLevel="1"/>
    <row r="223" spans="2:22" hidden="1" outlineLevel="1">
      <c r="E223" s="83" t="s">
        <v>234</v>
      </c>
      <c r="F223" s="74" t="s">
        <v>42</v>
      </c>
      <c r="G223" s="84">
        <f>C214</f>
        <v>83.832190195130735</v>
      </c>
    </row>
    <row r="224" spans="2:22" hidden="1" outlineLevel="1">
      <c r="E224" s="83" t="s">
        <v>234</v>
      </c>
      <c r="F224" s="74" t="s">
        <v>9</v>
      </c>
      <c r="G224" s="105">
        <f>G223*1000/Number_Days/Number_Hours</f>
        <v>9.5698847254715442</v>
      </c>
    </row>
    <row r="225" spans="2:22" hidden="1" outlineLevel="1">
      <c r="E225" s="83" t="s">
        <v>151</v>
      </c>
      <c r="F225" s="74" t="s">
        <v>11</v>
      </c>
      <c r="G225" s="84">
        <f>SUM(E98:E99)</f>
        <v>20</v>
      </c>
    </row>
    <row r="226" spans="2:22" hidden="1" outlineLevel="1">
      <c r="E226" s="83" t="s">
        <v>152</v>
      </c>
      <c r="F226" s="74" t="s">
        <v>11</v>
      </c>
      <c r="G226" s="84">
        <f>E101</f>
        <v>0</v>
      </c>
    </row>
    <row r="227" spans="2:22" hidden="1" outlineLevel="1">
      <c r="E227" s="83" t="s">
        <v>153</v>
      </c>
      <c r="F227" s="74" t="s">
        <v>11</v>
      </c>
      <c r="G227" s="84">
        <f>E100</f>
        <v>1</v>
      </c>
    </row>
    <row r="228" spans="2:22" hidden="1" outlineLevel="1">
      <c r="E228" s="83" t="s">
        <v>154</v>
      </c>
      <c r="F228" s="74" t="s">
        <v>9</v>
      </c>
      <c r="G228" s="104">
        <f>G226*ASSUMPTIONS!C25+DASHBOARD!F20*DASHBOARD!P28</f>
        <v>13.3</v>
      </c>
    </row>
    <row r="229" spans="2:22" hidden="1" outlineLevel="1">
      <c r="E229" s="83" t="s">
        <v>155</v>
      </c>
      <c r="F229" s="74" t="s">
        <v>156</v>
      </c>
      <c r="G229" s="105">
        <f>IF(G224-G228&lt;0,0,(G224-G228)/G225)</f>
        <v>0</v>
      </c>
    </row>
    <row r="230" spans="2:22" hidden="1" outlineLevel="1"/>
    <row r="231" spans="2:22" s="113" customFormat="1" ht="22.5" hidden="1" customHeight="1" outlineLevel="1">
      <c r="B231" s="112" t="s">
        <v>233</v>
      </c>
    </row>
    <row r="232" spans="2:22" hidden="1" outlineLevel="1"/>
    <row r="233" spans="2:22" hidden="1" outlineLevel="1">
      <c r="E233" s="77" t="s">
        <v>53</v>
      </c>
      <c r="F233" s="74" t="s">
        <v>44</v>
      </c>
      <c r="G233" s="90">
        <f>G189</f>
        <v>120000</v>
      </c>
    </row>
    <row r="234" spans="2:22" hidden="1" outlineLevel="1">
      <c r="E234" s="77" t="s">
        <v>54</v>
      </c>
      <c r="F234" s="74" t="s">
        <v>44</v>
      </c>
      <c r="G234" s="90">
        <f t="shared" ref="G234:V234" si="60">G193</f>
        <v>1734.3947392820094</v>
      </c>
      <c r="H234" s="90">
        <f t="shared" si="60"/>
        <v>-1185.6052607179909</v>
      </c>
      <c r="I234" s="90">
        <f t="shared" si="60"/>
        <v>-1185.6052607179909</v>
      </c>
      <c r="J234" s="90">
        <f t="shared" si="60"/>
        <v>-1185.6052607179909</v>
      </c>
      <c r="K234" s="90">
        <f t="shared" si="60"/>
        <v>-1185.6052607179909</v>
      </c>
      <c r="L234" s="90">
        <f t="shared" si="60"/>
        <v>7534.3947392820101</v>
      </c>
      <c r="M234" s="90">
        <f t="shared" si="60"/>
        <v>-1185.6052607179909</v>
      </c>
      <c r="N234" s="90">
        <f t="shared" si="60"/>
        <v>-1185.6052607179909</v>
      </c>
      <c r="O234" s="90">
        <f t="shared" si="60"/>
        <v>-1185.6052607179909</v>
      </c>
      <c r="P234" s="90">
        <f t="shared" si="60"/>
        <v>-1185.6052607179909</v>
      </c>
      <c r="Q234" s="90">
        <f t="shared" si="60"/>
        <v>-1185.6052607179909</v>
      </c>
      <c r="R234" s="90">
        <f t="shared" si="60"/>
        <v>7534.3947392820101</v>
      </c>
      <c r="S234" s="90">
        <f t="shared" si="60"/>
        <v>-1185.6052607179909</v>
      </c>
      <c r="T234" s="90">
        <f t="shared" si="60"/>
        <v>-1185.6052607179909</v>
      </c>
      <c r="U234" s="90">
        <f t="shared" si="60"/>
        <v>-1185.6052607179909</v>
      </c>
      <c r="V234" s="90">
        <f t="shared" si="60"/>
        <v>-4200</v>
      </c>
    </row>
    <row r="235" spans="2:22" hidden="1" outlineLevel="1">
      <c r="B235" s="2" t="s">
        <v>158</v>
      </c>
      <c r="C235" s="107">
        <v>247.6319218265516</v>
      </c>
      <c r="E235" s="77" t="s">
        <v>157</v>
      </c>
      <c r="F235" s="74" t="s">
        <v>158</v>
      </c>
      <c r="G235" s="90">
        <f>$C$235</f>
        <v>247.6319218265516</v>
      </c>
      <c r="H235" s="90">
        <f t="shared" ref="H235:V235" si="61">$C$235</f>
        <v>247.6319218265516</v>
      </c>
      <c r="I235" s="90">
        <f t="shared" si="61"/>
        <v>247.6319218265516</v>
      </c>
      <c r="J235" s="90">
        <f t="shared" si="61"/>
        <v>247.6319218265516</v>
      </c>
      <c r="K235" s="90">
        <f t="shared" si="61"/>
        <v>247.6319218265516</v>
      </c>
      <c r="L235" s="90">
        <f t="shared" si="61"/>
        <v>247.6319218265516</v>
      </c>
      <c r="M235" s="90">
        <f t="shared" si="61"/>
        <v>247.6319218265516</v>
      </c>
      <c r="N235" s="90">
        <f t="shared" si="61"/>
        <v>247.6319218265516</v>
      </c>
      <c r="O235" s="90">
        <f t="shared" si="61"/>
        <v>247.6319218265516</v>
      </c>
      <c r="P235" s="90">
        <f t="shared" si="61"/>
        <v>247.6319218265516</v>
      </c>
      <c r="Q235" s="90">
        <f t="shared" si="61"/>
        <v>247.6319218265516</v>
      </c>
      <c r="R235" s="90">
        <f t="shared" si="61"/>
        <v>247.6319218265516</v>
      </c>
      <c r="S235" s="90">
        <f t="shared" si="61"/>
        <v>247.6319218265516</v>
      </c>
      <c r="T235" s="90">
        <f t="shared" si="61"/>
        <v>247.6319218265516</v>
      </c>
      <c r="U235" s="90">
        <f t="shared" si="61"/>
        <v>247.6319218265516</v>
      </c>
      <c r="V235" s="90">
        <f t="shared" si="61"/>
        <v>247.6319218265516</v>
      </c>
    </row>
    <row r="236" spans="2:22" hidden="1" outlineLevel="1">
      <c r="C236" s="33"/>
      <c r="E236" s="83" t="s">
        <v>82</v>
      </c>
      <c r="F236" s="74" t="s">
        <v>44</v>
      </c>
      <c r="G236" s="83">
        <f>G235*Gas_Price</f>
        <v>463.07169381565154</v>
      </c>
      <c r="H236" s="83">
        <f t="shared" ref="H236:V236" si="62">H235*Gas_Price</f>
        <v>463.07169381565154</v>
      </c>
      <c r="I236" s="83">
        <f t="shared" si="62"/>
        <v>463.07169381565154</v>
      </c>
      <c r="J236" s="83">
        <f t="shared" si="62"/>
        <v>463.07169381565154</v>
      </c>
      <c r="K236" s="83">
        <f t="shared" si="62"/>
        <v>463.07169381565154</v>
      </c>
      <c r="L236" s="83">
        <f t="shared" si="62"/>
        <v>463.07169381565154</v>
      </c>
      <c r="M236" s="83">
        <f t="shared" si="62"/>
        <v>463.07169381565154</v>
      </c>
      <c r="N236" s="83">
        <f t="shared" si="62"/>
        <v>463.07169381565154</v>
      </c>
      <c r="O236" s="83">
        <f t="shared" si="62"/>
        <v>463.07169381565154</v>
      </c>
      <c r="P236" s="83">
        <f t="shared" si="62"/>
        <v>463.07169381565154</v>
      </c>
      <c r="Q236" s="83">
        <f t="shared" si="62"/>
        <v>463.07169381565154</v>
      </c>
      <c r="R236" s="83">
        <f t="shared" si="62"/>
        <v>463.07169381565154</v>
      </c>
      <c r="S236" s="83">
        <f t="shared" si="62"/>
        <v>463.07169381565154</v>
      </c>
      <c r="T236" s="83">
        <f t="shared" si="62"/>
        <v>463.07169381565154</v>
      </c>
      <c r="U236" s="83">
        <f t="shared" si="62"/>
        <v>463.07169381565154</v>
      </c>
      <c r="V236" s="83">
        <f t="shared" si="62"/>
        <v>463.07169381565154</v>
      </c>
    </row>
    <row r="237" spans="2:22" hidden="1" outlineLevel="1">
      <c r="C237" s="33"/>
      <c r="E237" s="83" t="s">
        <v>159</v>
      </c>
      <c r="F237" s="74" t="s">
        <v>44</v>
      </c>
      <c r="G237" s="83">
        <f t="shared" ref="G237:V237" si="63">IF(G184&lt;=$B$161,G236-G234-G233,0)</f>
        <v>-121271.32304546636</v>
      </c>
      <c r="H237" s="83">
        <f t="shared" si="63"/>
        <v>1648.6769545336424</v>
      </c>
      <c r="I237" s="83">
        <f t="shared" si="63"/>
        <v>1648.6769545336424</v>
      </c>
      <c r="J237" s="83">
        <f t="shared" si="63"/>
        <v>1648.6769545336424</v>
      </c>
      <c r="K237" s="83">
        <f t="shared" si="63"/>
        <v>1648.6769545336424</v>
      </c>
      <c r="L237" s="83">
        <f t="shared" si="63"/>
        <v>-7071.323045466359</v>
      </c>
      <c r="M237" s="83">
        <f t="shared" si="63"/>
        <v>1648.6769545336424</v>
      </c>
      <c r="N237" s="83">
        <f t="shared" si="63"/>
        <v>1648.6769545336424</v>
      </c>
      <c r="O237" s="83">
        <f t="shared" si="63"/>
        <v>1648.6769545336424</v>
      </c>
      <c r="P237" s="83">
        <f t="shared" si="63"/>
        <v>1648.6769545336424</v>
      </c>
      <c r="Q237" s="83">
        <f t="shared" si="63"/>
        <v>1648.6769545336424</v>
      </c>
      <c r="R237" s="83">
        <f t="shared" si="63"/>
        <v>-7071.323045466359</v>
      </c>
      <c r="S237" s="83">
        <f t="shared" si="63"/>
        <v>1648.6769545336424</v>
      </c>
      <c r="T237" s="83">
        <f t="shared" si="63"/>
        <v>1648.6769545336424</v>
      </c>
      <c r="U237" s="83">
        <f t="shared" si="63"/>
        <v>1648.6769545336424</v>
      </c>
      <c r="V237" s="83">
        <f t="shared" si="63"/>
        <v>4663.0716938156511</v>
      </c>
    </row>
    <row r="238" spans="2:22" hidden="1" outlineLevel="1">
      <c r="C238" s="33"/>
      <c r="E238" s="83" t="s">
        <v>83</v>
      </c>
      <c r="F238" s="74" t="s">
        <v>44</v>
      </c>
      <c r="G238" s="83">
        <f>G237+NPV(Interest_Rate,H237:V237)</f>
        <v>-113640.09036608903</v>
      </c>
      <c r="H238" s="22"/>
      <c r="I238" s="22"/>
      <c r="J238" s="22"/>
      <c r="K238" s="22"/>
      <c r="L238" s="22"/>
      <c r="M238" s="22"/>
      <c r="N238" s="22"/>
      <c r="O238" s="22"/>
      <c r="P238" s="22"/>
      <c r="Q238" s="22"/>
      <c r="R238" s="22"/>
      <c r="S238" s="22"/>
      <c r="T238" s="22"/>
      <c r="U238" s="22"/>
      <c r="V238" s="22"/>
    </row>
    <row r="239" spans="2:22" hidden="1" outlineLevel="1">
      <c r="C239" s="33"/>
      <c r="E239" s="83" t="s">
        <v>147</v>
      </c>
      <c r="F239" s="74" t="s">
        <v>146</v>
      </c>
      <c r="G239" s="83">
        <f t="shared" ref="G239:V239" si="64">IF(G160&lt;=$B$161,G235*$F$25,0)</f>
        <v>3.8135315961288949</v>
      </c>
      <c r="H239" s="83">
        <f t="shared" si="64"/>
        <v>3.8135315961288949</v>
      </c>
      <c r="I239" s="83">
        <f t="shared" si="64"/>
        <v>3.8135315961288949</v>
      </c>
      <c r="J239" s="83">
        <f t="shared" si="64"/>
        <v>3.8135315961288949</v>
      </c>
      <c r="K239" s="83">
        <f t="shared" si="64"/>
        <v>3.8135315961288949</v>
      </c>
      <c r="L239" s="83">
        <f t="shared" si="64"/>
        <v>3.8135315961288949</v>
      </c>
      <c r="M239" s="83">
        <f t="shared" si="64"/>
        <v>3.8135315961288949</v>
      </c>
      <c r="N239" s="83">
        <f t="shared" si="64"/>
        <v>3.8135315961288949</v>
      </c>
      <c r="O239" s="83">
        <f t="shared" si="64"/>
        <v>3.8135315961288949</v>
      </c>
      <c r="P239" s="83">
        <f t="shared" si="64"/>
        <v>3.8135315961288949</v>
      </c>
      <c r="Q239" s="83">
        <f t="shared" si="64"/>
        <v>0</v>
      </c>
      <c r="R239" s="83">
        <f t="shared" si="64"/>
        <v>0</v>
      </c>
      <c r="S239" s="83">
        <f t="shared" si="64"/>
        <v>0</v>
      </c>
      <c r="T239" s="83">
        <f t="shared" si="64"/>
        <v>0</v>
      </c>
      <c r="U239" s="83">
        <f t="shared" si="64"/>
        <v>0</v>
      </c>
      <c r="V239" s="83">
        <f t="shared" si="64"/>
        <v>0</v>
      </c>
    </row>
    <row r="240" spans="2:22" hidden="1" outlineLevel="1">
      <c r="E240" s="83" t="s">
        <v>149</v>
      </c>
      <c r="F240" s="74" t="s">
        <v>148</v>
      </c>
      <c r="G240" s="84">
        <f>-G238/(G239+NPV(Interest_Rate,H239:V239))</f>
        <v>3426.7194647446181</v>
      </c>
    </row>
    <row r="241" spans="5:22" hidden="1" outlineLevel="1"/>
    <row r="242" spans="5:22" hidden="1" outlineLevel="1">
      <c r="G242" s="84">
        <f>IF(G184&lt;=$B$161,1,0)</f>
        <v>1</v>
      </c>
      <c r="H242" s="84">
        <f t="shared" ref="H242:V242" si="65">IF(H184&lt;=$B$161,1,0)</f>
        <v>1</v>
      </c>
      <c r="I242" s="84">
        <f t="shared" si="65"/>
        <v>1</v>
      </c>
      <c r="J242" s="84">
        <f t="shared" si="65"/>
        <v>1</v>
      </c>
      <c r="K242" s="84">
        <f t="shared" si="65"/>
        <v>1</v>
      </c>
      <c r="L242" s="84">
        <f t="shared" si="65"/>
        <v>1</v>
      </c>
      <c r="M242" s="84">
        <f t="shared" si="65"/>
        <v>1</v>
      </c>
      <c r="N242" s="84">
        <f t="shared" si="65"/>
        <v>1</v>
      </c>
      <c r="O242" s="84">
        <f t="shared" si="65"/>
        <v>1</v>
      </c>
      <c r="P242" s="84">
        <f t="shared" si="65"/>
        <v>1</v>
      </c>
      <c r="Q242" s="84">
        <f t="shared" si="65"/>
        <v>1</v>
      </c>
      <c r="R242" s="84">
        <f t="shared" si="65"/>
        <v>1</v>
      </c>
      <c r="S242" s="84">
        <f t="shared" si="65"/>
        <v>1</v>
      </c>
      <c r="T242" s="84">
        <f t="shared" si="65"/>
        <v>1</v>
      </c>
      <c r="U242" s="84">
        <f t="shared" si="65"/>
        <v>1</v>
      </c>
      <c r="V242" s="84">
        <f t="shared" si="65"/>
        <v>1</v>
      </c>
    </row>
    <row r="243" spans="5:22" hidden="1" outlineLevel="1">
      <c r="G243" s="26"/>
      <c r="H243" s="26"/>
      <c r="I243" s="26"/>
      <c r="J243" s="26"/>
      <c r="K243" s="26"/>
      <c r="L243" s="26"/>
      <c r="M243" s="26"/>
      <c r="N243" s="26"/>
      <c r="O243" s="26"/>
      <c r="P243" s="26"/>
      <c r="Q243" s="26"/>
      <c r="R243" s="26"/>
      <c r="S243" s="26"/>
      <c r="T243" s="26"/>
      <c r="U243" s="26"/>
      <c r="V243" s="26"/>
    </row>
    <row r="244" spans="5:22" hidden="1" outlineLevel="1">
      <c r="E244" s="83" t="s">
        <v>150</v>
      </c>
      <c r="F244" s="74" t="s">
        <v>42</v>
      </c>
      <c r="G244" s="84">
        <f>C235</f>
        <v>247.6319218265516</v>
      </c>
    </row>
    <row r="245" spans="5:22" hidden="1" outlineLevel="1">
      <c r="E245" s="83" t="s">
        <v>150</v>
      </c>
      <c r="F245" s="74" t="s">
        <v>9</v>
      </c>
      <c r="G245" s="84">
        <f>G244*1000/Number_Days/Number_Hours</f>
        <v>28.2684842267753</v>
      </c>
    </row>
    <row r="246" spans="5:22" hidden="1" outlineLevel="1">
      <c r="E246" s="83" t="s">
        <v>151</v>
      </c>
      <c r="F246" s="74" t="s">
        <v>11</v>
      </c>
      <c r="G246" s="84">
        <f>G225</f>
        <v>20</v>
      </c>
    </row>
    <row r="247" spans="5:22" hidden="1" outlineLevel="1">
      <c r="E247" s="83" t="s">
        <v>152</v>
      </c>
      <c r="F247" s="74" t="s">
        <v>11</v>
      </c>
      <c r="G247" s="84">
        <f>E101</f>
        <v>0</v>
      </c>
    </row>
    <row r="248" spans="5:22" hidden="1" outlineLevel="1">
      <c r="E248" s="83" t="s">
        <v>153</v>
      </c>
      <c r="F248" s="74" t="s">
        <v>11</v>
      </c>
      <c r="G248" s="84">
        <f>F138</f>
        <v>1</v>
      </c>
    </row>
    <row r="249" spans="5:22" hidden="1" outlineLevel="1">
      <c r="E249" s="83" t="s">
        <v>154</v>
      </c>
      <c r="F249" s="74" t="s">
        <v>9</v>
      </c>
      <c r="G249" s="84">
        <f>G228</f>
        <v>13.3</v>
      </c>
    </row>
    <row r="250" spans="5:22" hidden="1" outlineLevel="1">
      <c r="E250" s="83" t="s">
        <v>155</v>
      </c>
      <c r="F250" s="74" t="s">
        <v>156</v>
      </c>
      <c r="G250" s="84">
        <f>IF(G245-G249&lt;0,0,(G245-G249)/G246)</f>
        <v>0.74842421133876491</v>
      </c>
    </row>
    <row r="251" spans="5:22" collapsed="1"/>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HOME</vt:lpstr>
      <vt:lpstr>DASHBOARD</vt:lpstr>
      <vt:lpstr>LIST</vt:lpstr>
      <vt:lpstr>ASSUMPTIONS</vt:lpstr>
      <vt:lpstr>CALCULATION</vt:lpstr>
      <vt:lpstr>AC_Target_Air</vt:lpstr>
      <vt:lpstr>AC_Target_Elec</vt:lpstr>
      <vt:lpstr>cf_in_cm</vt:lpstr>
      <vt:lpstr>Electricity_available_on_site</vt:lpstr>
      <vt:lpstr>Gas_Price</vt:lpstr>
      <vt:lpstr>Gasa_price_Table</vt:lpstr>
      <vt:lpstr>Interest_Rate</vt:lpstr>
      <vt:lpstr>Interest_Rate_table</vt:lpstr>
      <vt:lpstr>Lifetime_P</vt:lpstr>
      <vt:lpstr>Methane_Density_cf</vt:lpstr>
      <vt:lpstr>Methane_Density_cm</vt:lpstr>
      <vt:lpstr>Minimum_Rate_air</vt:lpstr>
      <vt:lpstr>Minimum_Rate_Elec</vt:lpstr>
      <vt:lpstr>Number_Days</vt:lpstr>
      <vt:lpstr>Number_Hours</vt:lpstr>
      <vt:lpstr>Number_Minutes</vt:lpstr>
      <vt:lpstr>Numberpump</vt:lpstr>
      <vt:lpstr>Retrofit_lifetime</vt:lpstr>
      <vt:lpstr>Retrofit_New</vt:lpstr>
      <vt:lpstr>Share_Methane</vt:lpstr>
      <vt:lpstr>SupplyGas</vt:lpstr>
      <vt:lpstr>Target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Saunier</dc:creator>
  <cp:lastModifiedBy>Pamela Jones</cp:lastModifiedBy>
  <cp:lastPrinted>2021-08-23T14:05:21Z</cp:lastPrinted>
  <dcterms:created xsi:type="dcterms:W3CDTF">2006-09-16T00:00:00Z</dcterms:created>
  <dcterms:modified xsi:type="dcterms:W3CDTF">2021-08-23T14:08:55Z</dcterms:modified>
</cp:coreProperties>
</file>