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xl/vbaProject.bin" ContentType="application/vnd.ms-office.vbaProject"/>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codeName="{26A90621-87C4-6C01-FD6A-EE6E7C140903}"/>
  <workbookPr codeName="ThisWorkbook" defaultThemeVersion="166925"/>
  <mc:AlternateContent xmlns:mc="http://schemas.openxmlformats.org/markup-compatibility/2006">
    <mc:Choice Requires="x15">
      <x15ac:absPath xmlns:x15ac="http://schemas.microsoft.com/office/spreadsheetml/2010/11/ac" url="https://nmgov.sharepoint.com/sites/ENV-CTFP/Shared Documents/IMPL/CI CALC/TIER 1/T1_release_versions/"/>
    </mc:Choice>
  </mc:AlternateContent>
  <xr:revisionPtr revIDLastSave="19479" documentId="13_ncr:1_{CB0F00B4-F627-495F-8B6C-F01F72C18A13}" xr6:coauthVersionLast="47" xr6:coauthVersionMax="47" xr10:uidLastSave="{1A29E2E7-2A01-46FA-93A5-E2FD93073DE8}"/>
  <bookViews>
    <workbookView xWindow="32475" yWindow="4800" windowWidth="21600" windowHeight="11175" tabRatio="718" xr2:uid="{A58A343A-D2CA-400A-8B51-D4EA907FC89E}"/>
  </bookViews>
  <sheets>
    <sheet name="Introduction" sheetId="1" r:id="rId1"/>
    <sheet name="PathwaySummary" sheetId="2" r:id="rId2"/>
    <sheet name="ManureToBiogas" sheetId="3" r:id="rId3"/>
    <sheet name="AvoidedEmissions" sheetId="4" r:id="rId4"/>
    <sheet name="BiogasToBiomethane" sheetId="5" r:id="rId5"/>
    <sheet name="Background" sheetId="6" r:id="rId6"/>
  </sheets>
  <definedNames>
    <definedName name="_xleta.IFERROR" hidden="1" xlm="1">#NAME?</definedName>
    <definedName name="_xleta.N" hidden="1" xlm="1">#NAME?</definedName>
    <definedName name="_xleta.SUM" hidden="1" xlm="1">#NAME?</definedName>
    <definedName name="_xleta.TAKE" hidden="1" xlm="1">#NAME?</definedName>
    <definedName name="_xleta.VLOOKUP" hidden="1" xlm="1">#NAME?</definedName>
    <definedName name="_xleta.XLOOKUP" hidden="1" xlm="1">#NAME?</definedName>
    <definedName name="_xlpm.AD_VSD" hidden="1" xlm="1">#NAME?</definedName>
    <definedName name="_xlpm.delim" hidden="1" xlm="1">#NAME?</definedName>
    <definedName name="_xlpm.idx" hidden="1" xlm="1">#NAME?</definedName>
    <definedName name="_xlpm.mfrac_effluent_solids_screened" hidden="1" xlm="1">#NAME?</definedName>
    <definedName name="_xlpm.p" hidden="1" xlm="1">#NAME?</definedName>
    <definedName name="_xlpm.pt" hidden="1" xlm="1">#NAME?</definedName>
    <definedName name="_xlpm.ptw" hidden="1" xlm="1">#NAME?</definedName>
    <definedName name="_xlpm.ptwy" hidden="1" xlm="1">#NAME?</definedName>
    <definedName name="_xlpm.region" hidden="1" xlm="1">#NAME?</definedName>
    <definedName name="_xlpm.T_avg" hidden="1" xlm="1">#NAME?</definedName>
    <definedName name="Btu2hph">Background!$AB$18</definedName>
    <definedName name="Btu2J">Background!$AB$11</definedName>
    <definedName name="Btu2kJ">Background!$AB$12</definedName>
    <definedName name="Btu2kWh">Background!$AB$15</definedName>
    <definedName name="Btu2MJ">Background!$AB$13</definedName>
    <definedName name="Btu2mmBtu">Background!$AB$17</definedName>
    <definedName name="Btu2Wh">Background!$AB$14</definedName>
    <definedName name="CContent_BD">Background!$S$13</definedName>
    <definedName name="CContent_butane">Background!$S$16</definedName>
    <definedName name="CContent_CBOB">Background!$S$5</definedName>
    <definedName name="CContent_CH4">Background!$S$19</definedName>
    <definedName name="CContent_CO">Background!$S$28</definedName>
    <definedName name="CContent_CO2">Background!$S$29</definedName>
    <definedName name="CContent_diesel">Background!$S$4</definedName>
    <definedName name="CContent_E10">Background!$S$6</definedName>
    <definedName name="CContent_EtOH">Background!$S$10</definedName>
    <definedName name="CContent_LNG">Background!$S$12</definedName>
    <definedName name="CContent_LPG">Background!$S$11</definedName>
    <definedName name="CContent_MeOH">Background!$S$9</definedName>
    <definedName name="CContent_NG">Background!$S$18</definedName>
    <definedName name="CContent_propane">Background!$S$15</definedName>
    <definedName name="CContent_RD">Background!$S$14</definedName>
    <definedName name="CContent_residualOil">Background!$S$8</definedName>
    <definedName name="CContent_ULSD">Background!$S$7</definedName>
    <definedName name="CContent_VOC">Background!$S$27</definedName>
    <definedName name="density_BD">Background!$R$13</definedName>
    <definedName name="density_butane">Background!$R$16</definedName>
    <definedName name="density_CBOB">Background!$R$5</definedName>
    <definedName name="density_CH4">Background!$R$19</definedName>
    <definedName name="density_CH4_32F">Background!#REF!</definedName>
    <definedName name="density_diesel">Background!$R$4</definedName>
    <definedName name="density_E10">Background!$R$6</definedName>
    <definedName name="density_EtOH">Background!$R$10</definedName>
    <definedName name="density_LNG">Background!$R$12</definedName>
    <definedName name="density_LPG">Background!$R$11</definedName>
    <definedName name="density_MeOH">Background!$R$9</definedName>
    <definedName name="density_NG">Background!$R$18</definedName>
    <definedName name="density_NG_32F">Background!#REF!</definedName>
    <definedName name="density_propane">Background!$R$15</definedName>
    <definedName name="density_RD">Background!$R$14</definedName>
    <definedName name="density_residualOil">Background!$R$8</definedName>
    <definedName name="density_ULSD">Background!$R$7</definedName>
    <definedName name="ft2m">Background!$Z$29</definedName>
    <definedName name="ft32gal">Background!$AA$24</definedName>
    <definedName name="ft32L">Background!$AA$23</definedName>
    <definedName name="ft32m3">Background!$AA$21</definedName>
    <definedName name="ft32mL">Background!$AA$22</definedName>
    <definedName name="g2kg">Background!$W$5</definedName>
    <definedName name="g2lb">Background!$W$7</definedName>
    <definedName name="g2MT">Background!$W$6</definedName>
    <definedName name="g2T">Background!$W$8</definedName>
    <definedName name="gal2ft3">Background!$Z$25</definedName>
    <definedName name="gal2L">Background!$Z$23</definedName>
    <definedName name="gal2m3">Background!$Z$21</definedName>
    <definedName name="gal2mL">Background!$Z$22</definedName>
    <definedName name="grid_CIs">Background!$D$4:$D$32</definedName>
    <definedName name="grid_names">Background!$C$4:$C$32</definedName>
    <definedName name="grid_options">_xlfn.ANCHORARRAY(Background!$AH$4)</definedName>
    <definedName name="GWP_CH4">Background!$P$28</definedName>
    <definedName name="GWP_CO">Background!$P$31</definedName>
    <definedName name="GWP_N2O">Background!$P$29</definedName>
    <definedName name="GWP_VOC">Background!$P$30</definedName>
    <definedName name="HHV_BD">Background!$Q$13</definedName>
    <definedName name="HHV_butane">Background!$Q$16</definedName>
    <definedName name="HHV_CBOB">Background!$Q$5</definedName>
    <definedName name="HHV_CH4">Background!$Q$19</definedName>
    <definedName name="HHV_diesel">Background!$Q$4</definedName>
    <definedName name="HHV_E10">Background!$Q$6</definedName>
    <definedName name="HHV_EtOH">Background!$Q$10</definedName>
    <definedName name="HHV_LNG">Background!$Q$12</definedName>
    <definedName name="HHV_LPG">Background!$Q$11</definedName>
    <definedName name="HHV_MeOH">Background!$Q$9</definedName>
    <definedName name="HHV_NG">Background!$Q$18</definedName>
    <definedName name="HHV_propane">Background!$Q$15</definedName>
    <definedName name="HHV_RD">Background!$Q$14</definedName>
    <definedName name="HHV_residualOil">Background!$Q$8</definedName>
    <definedName name="HHV_ULSD">Background!$Q$7</definedName>
    <definedName name="hph2Btu">Background!$AD$16</definedName>
    <definedName name="hph2J">Background!$AD$11</definedName>
    <definedName name="hph2kJ">Background!$AD$12</definedName>
    <definedName name="hph2MJ">Background!$AD$13</definedName>
    <definedName name="hph2mmBtu">Background!$AD$17</definedName>
    <definedName name="hph2Wh">Background!$AD$14</definedName>
    <definedName name="Include_AvoidedMethane">BiogasToBiomethane!$L$24</definedName>
    <definedName name="J2Btu">Background!$W$16</definedName>
    <definedName name="J2hph">Background!$W$18</definedName>
    <definedName name="J2kJ">Background!$W$12</definedName>
    <definedName name="J2kWh">Background!$W$15</definedName>
    <definedName name="J2MJ">Background!$W$13</definedName>
    <definedName name="J2mmBtu">Background!$W$17</definedName>
    <definedName name="J2Wh">Background!$W$14</definedName>
    <definedName name="kg2g">Background!$X$4</definedName>
    <definedName name="kg2lb">Background!$X$7</definedName>
    <definedName name="kg2MT">Background!$X$6</definedName>
    <definedName name="kg2T">Background!$X$8</definedName>
    <definedName name="kJ2Btu">Background!$X$16</definedName>
    <definedName name="kJ2hph">Background!$X$18</definedName>
    <definedName name="kJ2J">Background!$X$11</definedName>
    <definedName name="kJ2kWh">Background!$X$15</definedName>
    <definedName name="kJ2MJ">Background!$X$13</definedName>
    <definedName name="kJ2mmBtu">Background!$X$17</definedName>
    <definedName name="kJ2Wh">Background!$X$14</definedName>
    <definedName name="km2mi">Background!$Y$32</definedName>
    <definedName name="kWh2Btu">Background!$AA$16</definedName>
    <definedName name="kWh2hph">Background!$AA$18</definedName>
    <definedName name="kWh2J">Background!$AA$11</definedName>
    <definedName name="kWh2kJ">Background!$AA$12</definedName>
    <definedName name="kWh2MJ">Background!$AA$13</definedName>
    <definedName name="kWh2mmBtu">Background!$AA$17</definedName>
    <definedName name="kWh2Wh">Background!$AA$14</definedName>
    <definedName name="L2ft3">Background!$Y$25</definedName>
    <definedName name="L2gal">Background!$Y$24</definedName>
    <definedName name="L2m3">Background!$Y$21</definedName>
    <definedName name="L2mL">Background!$Y$22</definedName>
    <definedName name="lb2g">Background!$Z$4</definedName>
    <definedName name="lb2kg">Background!$Z$5</definedName>
    <definedName name="lb2MT">Background!$Z$6</definedName>
    <definedName name="lb2T">Background!$Z$8</definedName>
    <definedName name="LHV_BD">Background!$P$13</definedName>
    <definedName name="LHV_butane">Background!$P$16</definedName>
    <definedName name="LHV_CBOB">Background!$P$5</definedName>
    <definedName name="LHV_CH4">Background!$P$19</definedName>
    <definedName name="LHV_diesel">Background!$P$4</definedName>
    <definedName name="LHV_E10">Background!$P$6</definedName>
    <definedName name="LHV_EtOH">Background!$P$10</definedName>
    <definedName name="LHV_gasoline">Background!$P$6</definedName>
    <definedName name="LHV_LNG">Background!$P$12</definedName>
    <definedName name="LHV_LPG">Background!$P$11</definedName>
    <definedName name="LHV_MeOH">Background!$P$9</definedName>
    <definedName name="LHV_NG">Background!$P$18</definedName>
    <definedName name="LHV_propane">Background!$P$15</definedName>
    <definedName name="LHV_RD">Background!$P$14</definedName>
    <definedName name="LHV_residualOil">Background!$P$8</definedName>
    <definedName name="LHV_ULSD">Background!$P$7</definedName>
    <definedName name="m2ft">Background!$X$31</definedName>
    <definedName name="m32ft3">Background!$W$25</definedName>
    <definedName name="m32gal">Background!$W$24</definedName>
    <definedName name="m32L">Background!$W$23</definedName>
    <definedName name="m32mL">Background!$W$22</definedName>
    <definedName name="mi2km">Background!$AA$30</definedName>
    <definedName name="MJ2Btu">Background!$Y$16</definedName>
    <definedName name="MJ2hph">Background!$Y$18</definedName>
    <definedName name="MJ2J">Background!$Y$11</definedName>
    <definedName name="MJ2kJ">Background!$Y$12</definedName>
    <definedName name="MJ2kWh">Background!$Y$15</definedName>
    <definedName name="MJ2mmBtu">Background!$Y$17</definedName>
    <definedName name="MJ2Wh">Background!$Y$14</definedName>
    <definedName name="mL2ft3">Background!$X$25</definedName>
    <definedName name="mL2gal">Background!$X$24</definedName>
    <definedName name="mL2L">Background!$X$23</definedName>
    <definedName name="mL2m3">Background!$X$21</definedName>
    <definedName name="mmBtu2Btu">Background!$AC$16</definedName>
    <definedName name="mmBtu2hph">Background!$AC$18</definedName>
    <definedName name="mmBtu2J">Background!$AC$11</definedName>
    <definedName name="mmBtu2kJ">Background!$AC$12</definedName>
    <definedName name="mmBtu2kWh">Background!$AC$15</definedName>
    <definedName name="mmBtu2MJ">Background!$AC$13</definedName>
    <definedName name="mmBtu2Wh">Background!$AC$14</definedName>
    <definedName name="months_baseline">ManureToBiogas!$B$9</definedName>
    <definedName name="months_project">BiogasToBiomethane!$J$24</definedName>
    <definedName name="MT2g">Background!$Y$4</definedName>
    <definedName name="MT2kg">Background!$Y$5</definedName>
    <definedName name="MT2lb">Background!$Y$7</definedName>
    <definedName name="MT2T">Background!$Y$8</definedName>
    <definedName name="state">BiogasToBiomethane!$C$19</definedName>
    <definedName name="T2g">Background!$AA$4</definedName>
    <definedName name="T2kg">Background!$AA$5</definedName>
    <definedName name="T2lb">Background!$AA$7</definedName>
    <definedName name="T2MT">Background!$AA$6</definedName>
    <definedName name="user_grid_bcs">BiogasToBiomethane!$C$24</definedName>
    <definedName name="Wh2Btu">Background!$Z$16</definedName>
    <definedName name="Wh2hph">Background!$Z$18</definedName>
    <definedName name="Wh2J">Background!$Z$11</definedName>
    <definedName name="Wh2kJ">Background!$Z$12</definedName>
    <definedName name="Wh2kWh">Background!$Z$15</definedName>
    <definedName name="Wh2MJ">Background!$Z$13</definedName>
    <definedName name="Wh2mmBtu">Background!$Z$17</definedName>
  </definedNames>
  <calcPr calcId="191029" iterate="1" iterateDelta="1.0000000000000001E-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7" i="5" l="1"/>
  <c r="E64" i="5" s="1"/>
  <c r="S57" i="5"/>
  <c r="E71" i="5" s="1"/>
  <c r="J24" i="5"/>
  <c r="C73" i="4"/>
  <c r="C74" i="4"/>
  <c r="C84" i="4" s="1"/>
  <c r="D12" i="5" l="1"/>
  <c r="AF26" i="5"/>
  <c r="D11" i="5"/>
  <c r="D10" i="5"/>
  <c r="N69" i="3"/>
  <c r="H20" i="3"/>
  <c r="H19" i="3"/>
  <c r="H18" i="3"/>
  <c r="H17" i="3"/>
  <c r="H16" i="3"/>
  <c r="H15" i="3"/>
  <c r="H14" i="3"/>
  <c r="H13" i="3"/>
  <c r="H12" i="3"/>
  <c r="H11" i="3"/>
  <c r="H10" i="3"/>
  <c r="H9" i="3"/>
  <c r="F65" i="2"/>
  <c r="E65" i="2"/>
  <c r="D24" i="5" l="1"/>
  <c r="AA4" i="6" l="1"/>
  <c r="Y8" i="6" s="1"/>
  <c r="W5" i="6"/>
  <c r="Y5" i="6"/>
  <c r="Z5" i="6"/>
  <c r="W6" i="6"/>
  <c r="X6" i="6"/>
  <c r="Z6" i="6"/>
  <c r="W7" i="6"/>
  <c r="X7" i="6"/>
  <c r="Y7" i="6"/>
  <c r="AA11" i="6"/>
  <c r="W15" i="6" s="1"/>
  <c r="AC11" i="6"/>
  <c r="AC13" i="6" s="1"/>
  <c r="W12" i="6"/>
  <c r="Y12" i="6"/>
  <c r="Z12" i="6"/>
  <c r="AB12" i="6"/>
  <c r="W13" i="6"/>
  <c r="X13" i="6"/>
  <c r="Z13" i="6"/>
  <c r="AB13" i="6"/>
  <c r="W14" i="6"/>
  <c r="X14" i="6"/>
  <c r="Y14" i="6"/>
  <c r="AB14" i="6"/>
  <c r="AD15" i="6"/>
  <c r="W16" i="6"/>
  <c r="X16" i="6"/>
  <c r="Y16" i="6"/>
  <c r="Z16" i="6"/>
  <c r="W22" i="6"/>
  <c r="Y22" i="6"/>
  <c r="Z22" i="6"/>
  <c r="AA22" i="6"/>
  <c r="W23" i="6"/>
  <c r="X23" i="6"/>
  <c r="Z23" i="6"/>
  <c r="AA23" i="6"/>
  <c r="W24" i="6"/>
  <c r="X24" i="6"/>
  <c r="Y24" i="6"/>
  <c r="AA24" i="6"/>
  <c r="W25" i="6"/>
  <c r="X25" i="6"/>
  <c r="Y25" i="6"/>
  <c r="Z25" i="6"/>
  <c r="P6" i="6"/>
  <c r="Q6" i="6"/>
  <c r="R6" i="6"/>
  <c r="S6" i="6"/>
  <c r="P7" i="6"/>
  <c r="P8" i="6"/>
  <c r="S28" i="6"/>
  <c r="S29" i="6"/>
  <c r="P30" i="6" s="1"/>
  <c r="AA6" i="6" l="1"/>
  <c r="Z8" i="6"/>
  <c r="AA7" i="6"/>
  <c r="Z15" i="6"/>
  <c r="W18" i="6"/>
  <c r="AD11" i="6" s="1"/>
  <c r="Y15" i="6"/>
  <c r="AA16" i="6"/>
  <c r="AB18" i="6" s="1"/>
  <c r="AC18" i="6" s="1"/>
  <c r="AD17" i="6" s="1"/>
  <c r="X8" i="6"/>
  <c r="W17" i="6"/>
  <c r="AA12" i="6"/>
  <c r="W8" i="6"/>
  <c r="AA5" i="6"/>
  <c r="AC15" i="6"/>
  <c r="AC16" i="6"/>
  <c r="AB15" i="6"/>
  <c r="AA13" i="6"/>
  <c r="Y18" i="6" s="1"/>
  <c r="AD13" i="6" s="1"/>
  <c r="P31" i="6"/>
  <c r="AB17" i="6"/>
  <c r="AA14" i="6"/>
  <c r="Z18" i="6" s="1"/>
  <c r="AD14" i="6" s="1"/>
  <c r="AC14" i="6"/>
  <c r="AA17" i="6"/>
  <c r="Z17" i="6"/>
  <c r="X15" i="6"/>
  <c r="Y17" i="6"/>
  <c r="AC12" i="6"/>
  <c r="X17" i="6"/>
  <c r="B59" i="4"/>
  <c r="B58" i="4"/>
  <c r="B57" i="4"/>
  <c r="B56" i="4"/>
  <c r="B55" i="4"/>
  <c r="B54" i="4"/>
  <c r="B53" i="4"/>
  <c r="B52" i="4"/>
  <c r="B51" i="4"/>
  <c r="B50" i="4"/>
  <c r="B49" i="4"/>
  <c r="B48" i="4"/>
  <c r="B47" i="4"/>
  <c r="B46" i="4"/>
  <c r="B45" i="4"/>
  <c r="B44" i="4"/>
  <c r="B43" i="4"/>
  <c r="B42" i="4"/>
  <c r="B41" i="4"/>
  <c r="B40" i="4"/>
  <c r="B39" i="4"/>
  <c r="B38" i="4"/>
  <c r="B37" i="4"/>
  <c r="B36" i="4"/>
  <c r="B35" i="4"/>
  <c r="B34" i="4"/>
  <c r="B33" i="4"/>
  <c r="B32" i="4"/>
  <c r="B31" i="4"/>
  <c r="B30" i="4"/>
  <c r="B29" i="4"/>
  <c r="B28" i="4"/>
  <c r="B27" i="4"/>
  <c r="B26" i="4"/>
  <c r="B25" i="4"/>
  <c r="B24" i="4"/>
  <c r="B23" i="4"/>
  <c r="B67" i="4"/>
  <c r="X18" i="6" l="1"/>
  <c r="AD12" i="6" s="1"/>
  <c r="AD16" i="6"/>
  <c r="H42" i="6"/>
  <c r="I42" i="6"/>
  <c r="K42" i="6"/>
  <c r="BY61" i="3"/>
  <c r="BZ61" i="3" s="1"/>
  <c r="BW61" i="3"/>
  <c r="BU61" i="3"/>
  <c r="BY60" i="3"/>
  <c r="BZ60" i="3" s="1"/>
  <c r="BW60" i="3"/>
  <c r="BU60" i="3"/>
  <c r="BY59" i="3"/>
  <c r="BZ59" i="3" s="1"/>
  <c r="BW59" i="3"/>
  <c r="BU59" i="3"/>
  <c r="BY58" i="3"/>
  <c r="BZ58" i="3" s="1"/>
  <c r="BW58" i="3"/>
  <c r="BU58" i="3"/>
  <c r="BY57" i="3"/>
  <c r="BZ57" i="3" s="1"/>
  <c r="BW57" i="3"/>
  <c r="BU57" i="3"/>
  <c r="BY56" i="3"/>
  <c r="BZ56" i="3" s="1"/>
  <c r="BW56" i="3"/>
  <c r="BU56" i="3"/>
  <c r="BY55" i="3"/>
  <c r="BZ55" i="3" s="1"/>
  <c r="BW55" i="3"/>
  <c r="BU55" i="3"/>
  <c r="BY54" i="3"/>
  <c r="BZ54" i="3" s="1"/>
  <c r="BW54" i="3"/>
  <c r="BU54" i="3"/>
  <c r="BY53" i="3"/>
  <c r="BZ53" i="3" s="1"/>
  <c r="BW53" i="3"/>
  <c r="BU53" i="3"/>
  <c r="BY52" i="3"/>
  <c r="BZ52" i="3" s="1"/>
  <c r="BW52" i="3"/>
  <c r="BU52" i="3"/>
  <c r="BY51" i="3"/>
  <c r="BZ51" i="3" s="1"/>
  <c r="BW51" i="3"/>
  <c r="BU51" i="3"/>
  <c r="BY50" i="3"/>
  <c r="BZ50" i="3" s="1"/>
  <c r="BW50" i="3"/>
  <c r="BU50" i="3"/>
  <c r="BY49" i="3"/>
  <c r="BZ49" i="3" s="1"/>
  <c r="BW49" i="3"/>
  <c r="BU49" i="3"/>
  <c r="BY48" i="3"/>
  <c r="BZ48" i="3" s="1"/>
  <c r="BW48" i="3"/>
  <c r="BU48" i="3"/>
  <c r="BY47" i="3"/>
  <c r="BZ47" i="3" s="1"/>
  <c r="BW47" i="3"/>
  <c r="BU47" i="3"/>
  <c r="BY46" i="3"/>
  <c r="BZ46" i="3" s="1"/>
  <c r="BW46" i="3"/>
  <c r="BU46" i="3"/>
  <c r="BY45" i="3"/>
  <c r="BZ45" i="3" s="1"/>
  <c r="BW45" i="3"/>
  <c r="BU45" i="3"/>
  <c r="BY44" i="3"/>
  <c r="BZ44" i="3" s="1"/>
  <c r="BW44" i="3"/>
  <c r="BU44" i="3"/>
  <c r="BY43" i="3"/>
  <c r="BZ43" i="3" s="1"/>
  <c r="BW43" i="3"/>
  <c r="BU43" i="3"/>
  <c r="BY42" i="3"/>
  <c r="BZ42" i="3" s="1"/>
  <c r="BW42" i="3"/>
  <c r="BU42" i="3"/>
  <c r="BY41" i="3"/>
  <c r="BZ41" i="3" s="1"/>
  <c r="BW41" i="3"/>
  <c r="BU41" i="3"/>
  <c r="BY40" i="3"/>
  <c r="BZ40" i="3" s="1"/>
  <c r="BW40" i="3"/>
  <c r="BU40" i="3"/>
  <c r="BY39" i="3"/>
  <c r="BZ39" i="3" s="1"/>
  <c r="BW39" i="3"/>
  <c r="BU39" i="3"/>
  <c r="BY38" i="3"/>
  <c r="BZ38" i="3" s="1"/>
  <c r="BW38" i="3"/>
  <c r="BU38" i="3"/>
  <c r="BY37" i="3"/>
  <c r="BZ37" i="3" s="1"/>
  <c r="BW37" i="3"/>
  <c r="BU37" i="3"/>
  <c r="BY36" i="3"/>
  <c r="BZ36" i="3" s="1"/>
  <c r="BW36" i="3"/>
  <c r="BU36" i="3"/>
  <c r="BY35" i="3"/>
  <c r="BZ35" i="3" s="1"/>
  <c r="BW35" i="3"/>
  <c r="BU35" i="3"/>
  <c r="BY34" i="3"/>
  <c r="BZ34" i="3" s="1"/>
  <c r="BW34" i="3"/>
  <c r="BU34" i="3"/>
  <c r="BY33" i="3"/>
  <c r="BZ33" i="3" s="1"/>
  <c r="BW33" i="3"/>
  <c r="BU33" i="3"/>
  <c r="BY32" i="3"/>
  <c r="BZ32" i="3" s="1"/>
  <c r="BW32" i="3"/>
  <c r="BU32" i="3"/>
  <c r="BY31" i="3"/>
  <c r="BZ31" i="3" s="1"/>
  <c r="BW31" i="3"/>
  <c r="BU31" i="3"/>
  <c r="BY30" i="3"/>
  <c r="BZ30" i="3" s="1"/>
  <c r="BW30" i="3"/>
  <c r="BU30" i="3"/>
  <c r="BY29" i="3"/>
  <c r="BZ29" i="3" s="1"/>
  <c r="BW29" i="3"/>
  <c r="BU29" i="3"/>
  <c r="BY28" i="3"/>
  <c r="BZ28" i="3" s="1"/>
  <c r="BW28" i="3"/>
  <c r="BU28" i="3"/>
  <c r="BY27" i="3"/>
  <c r="BZ27" i="3" s="1"/>
  <c r="BW27" i="3"/>
  <c r="BU27" i="3"/>
  <c r="BY26" i="3"/>
  <c r="BZ26" i="3" s="1"/>
  <c r="BW26" i="3"/>
  <c r="BU26" i="3"/>
  <c r="BY25" i="3"/>
  <c r="BZ25" i="3" s="1"/>
  <c r="BW25" i="3"/>
  <c r="BU25" i="3"/>
  <c r="BK61" i="3"/>
  <c r="BL61" i="3" s="1"/>
  <c r="BI61" i="3"/>
  <c r="BG61" i="3"/>
  <c r="BK60" i="3"/>
  <c r="BL60" i="3" s="1"/>
  <c r="BI60" i="3"/>
  <c r="BG60" i="3"/>
  <c r="BK59" i="3"/>
  <c r="BL59" i="3" s="1"/>
  <c r="BI59" i="3"/>
  <c r="BG59" i="3"/>
  <c r="BK58" i="3"/>
  <c r="BL58" i="3" s="1"/>
  <c r="BI58" i="3"/>
  <c r="BG58" i="3"/>
  <c r="BK57" i="3"/>
  <c r="BL57" i="3" s="1"/>
  <c r="BI57" i="3"/>
  <c r="BG57" i="3"/>
  <c r="BK56" i="3"/>
  <c r="BL56" i="3" s="1"/>
  <c r="BI56" i="3"/>
  <c r="BG56" i="3"/>
  <c r="BK55" i="3"/>
  <c r="BL55" i="3" s="1"/>
  <c r="BI55" i="3"/>
  <c r="BG55" i="3"/>
  <c r="BK54" i="3"/>
  <c r="BL54" i="3" s="1"/>
  <c r="BI54" i="3"/>
  <c r="BG54" i="3"/>
  <c r="BK53" i="3"/>
  <c r="BL53" i="3" s="1"/>
  <c r="BI53" i="3"/>
  <c r="BG53" i="3"/>
  <c r="BK52" i="3"/>
  <c r="BL52" i="3" s="1"/>
  <c r="BI52" i="3"/>
  <c r="BG52" i="3"/>
  <c r="BK51" i="3"/>
  <c r="BL51" i="3" s="1"/>
  <c r="BI51" i="3"/>
  <c r="BG51" i="3"/>
  <c r="BK50" i="3"/>
  <c r="BL50" i="3" s="1"/>
  <c r="BI50" i="3"/>
  <c r="BG50" i="3"/>
  <c r="BK49" i="3"/>
  <c r="BL49" i="3" s="1"/>
  <c r="BI49" i="3"/>
  <c r="BG49" i="3"/>
  <c r="BK48" i="3"/>
  <c r="BL48" i="3" s="1"/>
  <c r="BI48" i="3"/>
  <c r="BG48" i="3"/>
  <c r="BK47" i="3"/>
  <c r="BL47" i="3" s="1"/>
  <c r="BI47" i="3"/>
  <c r="BG47" i="3"/>
  <c r="BK46" i="3"/>
  <c r="BL46" i="3" s="1"/>
  <c r="BI46" i="3"/>
  <c r="BG46" i="3"/>
  <c r="BK45" i="3"/>
  <c r="BL45" i="3" s="1"/>
  <c r="BI45" i="3"/>
  <c r="BG45" i="3"/>
  <c r="BK44" i="3"/>
  <c r="BL44" i="3" s="1"/>
  <c r="BI44" i="3"/>
  <c r="BG44" i="3"/>
  <c r="BK43" i="3"/>
  <c r="BL43" i="3" s="1"/>
  <c r="BI43" i="3"/>
  <c r="BG43" i="3"/>
  <c r="BK42" i="3"/>
  <c r="BL42" i="3" s="1"/>
  <c r="BI42" i="3"/>
  <c r="BG42" i="3"/>
  <c r="BK41" i="3"/>
  <c r="BL41" i="3" s="1"/>
  <c r="BI41" i="3"/>
  <c r="BG41" i="3"/>
  <c r="BK40" i="3"/>
  <c r="BL40" i="3" s="1"/>
  <c r="BI40" i="3"/>
  <c r="BG40" i="3"/>
  <c r="BK39" i="3"/>
  <c r="BL39" i="3" s="1"/>
  <c r="BI39" i="3"/>
  <c r="BG39" i="3"/>
  <c r="BK38" i="3"/>
  <c r="BL38" i="3" s="1"/>
  <c r="BI38" i="3"/>
  <c r="BG38" i="3"/>
  <c r="BK37" i="3"/>
  <c r="BL37" i="3" s="1"/>
  <c r="BI37" i="3"/>
  <c r="BG37" i="3"/>
  <c r="BK36" i="3"/>
  <c r="BL36" i="3" s="1"/>
  <c r="BI36" i="3"/>
  <c r="BG36" i="3"/>
  <c r="BK35" i="3"/>
  <c r="BL35" i="3" s="1"/>
  <c r="BI35" i="3"/>
  <c r="BG35" i="3"/>
  <c r="BK34" i="3"/>
  <c r="BL34" i="3" s="1"/>
  <c r="BI34" i="3"/>
  <c r="BG34" i="3"/>
  <c r="BK33" i="3"/>
  <c r="BL33" i="3" s="1"/>
  <c r="BI33" i="3"/>
  <c r="BG33" i="3"/>
  <c r="BK32" i="3"/>
  <c r="BL32" i="3" s="1"/>
  <c r="BI32" i="3"/>
  <c r="BG32" i="3"/>
  <c r="BK31" i="3"/>
  <c r="BL31" i="3" s="1"/>
  <c r="BI31" i="3"/>
  <c r="BG31" i="3"/>
  <c r="BK30" i="3"/>
  <c r="BL30" i="3" s="1"/>
  <c r="BI30" i="3"/>
  <c r="BG30" i="3"/>
  <c r="BK29" i="3"/>
  <c r="BL29" i="3" s="1"/>
  <c r="BI29" i="3"/>
  <c r="BG29" i="3"/>
  <c r="BK28" i="3"/>
  <c r="BL28" i="3" s="1"/>
  <c r="BI28" i="3"/>
  <c r="BG28" i="3"/>
  <c r="BK27" i="3"/>
  <c r="BL27" i="3" s="1"/>
  <c r="BI27" i="3"/>
  <c r="BG27" i="3"/>
  <c r="BK26" i="3"/>
  <c r="BL26" i="3" s="1"/>
  <c r="BI26" i="3"/>
  <c r="BG26" i="3"/>
  <c r="BK25" i="3"/>
  <c r="BL25" i="3" s="1"/>
  <c r="BI25" i="3"/>
  <c r="BG25" i="3"/>
  <c r="AW61" i="3"/>
  <c r="AX61" i="3" s="1"/>
  <c r="AU61" i="3"/>
  <c r="AS61" i="3"/>
  <c r="AW60" i="3"/>
  <c r="AX60" i="3" s="1"/>
  <c r="AU60" i="3"/>
  <c r="AS60" i="3"/>
  <c r="AW59" i="3"/>
  <c r="AX59" i="3" s="1"/>
  <c r="AU59" i="3"/>
  <c r="AS59" i="3"/>
  <c r="AW58" i="3"/>
  <c r="AX58" i="3" s="1"/>
  <c r="AU58" i="3"/>
  <c r="AS58" i="3"/>
  <c r="AW57" i="3"/>
  <c r="AX57" i="3" s="1"/>
  <c r="AU57" i="3"/>
  <c r="AS57" i="3"/>
  <c r="AW56" i="3"/>
  <c r="AX56" i="3" s="1"/>
  <c r="AU56" i="3"/>
  <c r="AS56" i="3"/>
  <c r="AW55" i="3"/>
  <c r="AX55" i="3" s="1"/>
  <c r="AU55" i="3"/>
  <c r="AS55" i="3"/>
  <c r="AW54" i="3"/>
  <c r="AX54" i="3" s="1"/>
  <c r="AU54" i="3"/>
  <c r="AS54" i="3"/>
  <c r="AW53" i="3"/>
  <c r="AX53" i="3" s="1"/>
  <c r="AU53" i="3"/>
  <c r="AS53" i="3"/>
  <c r="AW52" i="3"/>
  <c r="AX52" i="3" s="1"/>
  <c r="AU52" i="3"/>
  <c r="AS52" i="3"/>
  <c r="AW51" i="3"/>
  <c r="AX51" i="3" s="1"/>
  <c r="AU51" i="3"/>
  <c r="AS51" i="3"/>
  <c r="AW50" i="3"/>
  <c r="AX50" i="3" s="1"/>
  <c r="AU50" i="3"/>
  <c r="AS50" i="3"/>
  <c r="AW49" i="3"/>
  <c r="AX49" i="3" s="1"/>
  <c r="AU49" i="3"/>
  <c r="AS49" i="3"/>
  <c r="AW48" i="3"/>
  <c r="AX48" i="3" s="1"/>
  <c r="AU48" i="3"/>
  <c r="AS48" i="3"/>
  <c r="AW47" i="3"/>
  <c r="AX47" i="3" s="1"/>
  <c r="AU47" i="3"/>
  <c r="AS47" i="3"/>
  <c r="AW46" i="3"/>
  <c r="AX46" i="3" s="1"/>
  <c r="AU46" i="3"/>
  <c r="AS46" i="3"/>
  <c r="AW45" i="3"/>
  <c r="AX45" i="3" s="1"/>
  <c r="AU45" i="3"/>
  <c r="AS45" i="3"/>
  <c r="AW44" i="3"/>
  <c r="AX44" i="3" s="1"/>
  <c r="AU44" i="3"/>
  <c r="AS44" i="3"/>
  <c r="AW43" i="3"/>
  <c r="AX43" i="3" s="1"/>
  <c r="AU43" i="3"/>
  <c r="AS43" i="3"/>
  <c r="AW42" i="3"/>
  <c r="AX42" i="3" s="1"/>
  <c r="AU42" i="3"/>
  <c r="AS42" i="3"/>
  <c r="AW41" i="3"/>
  <c r="AX41" i="3" s="1"/>
  <c r="AU41" i="3"/>
  <c r="AS41" i="3"/>
  <c r="AW40" i="3"/>
  <c r="AX40" i="3" s="1"/>
  <c r="AU40" i="3"/>
  <c r="AS40" i="3"/>
  <c r="AW39" i="3"/>
  <c r="AX39" i="3" s="1"/>
  <c r="AU39" i="3"/>
  <c r="AS39" i="3"/>
  <c r="AW38" i="3"/>
  <c r="AX38" i="3" s="1"/>
  <c r="AU38" i="3"/>
  <c r="AS38" i="3"/>
  <c r="AW37" i="3"/>
  <c r="AX37" i="3" s="1"/>
  <c r="AU37" i="3"/>
  <c r="AS37" i="3"/>
  <c r="AW36" i="3"/>
  <c r="AX36" i="3" s="1"/>
  <c r="AU36" i="3"/>
  <c r="AS36" i="3"/>
  <c r="AW35" i="3"/>
  <c r="AX35" i="3" s="1"/>
  <c r="AU35" i="3"/>
  <c r="AS35" i="3"/>
  <c r="AW34" i="3"/>
  <c r="AX34" i="3" s="1"/>
  <c r="AU34" i="3"/>
  <c r="AS34" i="3"/>
  <c r="AW33" i="3"/>
  <c r="AX33" i="3" s="1"/>
  <c r="AU33" i="3"/>
  <c r="AS33" i="3"/>
  <c r="AW32" i="3"/>
  <c r="AX32" i="3" s="1"/>
  <c r="AU32" i="3"/>
  <c r="AS32" i="3"/>
  <c r="AW31" i="3"/>
  <c r="AX31" i="3" s="1"/>
  <c r="AU31" i="3"/>
  <c r="AS31" i="3"/>
  <c r="AW30" i="3"/>
  <c r="AX30" i="3" s="1"/>
  <c r="AU30" i="3"/>
  <c r="AS30" i="3"/>
  <c r="AW29" i="3"/>
  <c r="AX29" i="3" s="1"/>
  <c r="AU29" i="3"/>
  <c r="AS29" i="3"/>
  <c r="AW28" i="3"/>
  <c r="AX28" i="3" s="1"/>
  <c r="AU28" i="3"/>
  <c r="AS28" i="3"/>
  <c r="AW27" i="3"/>
  <c r="AX27" i="3" s="1"/>
  <c r="AU27" i="3"/>
  <c r="AS27" i="3"/>
  <c r="AW26" i="3"/>
  <c r="AX26" i="3" s="1"/>
  <c r="AU26" i="3"/>
  <c r="AS26" i="3"/>
  <c r="AW25" i="3"/>
  <c r="AX25" i="3" s="1"/>
  <c r="AU25" i="3"/>
  <c r="AS25" i="3"/>
  <c r="AI61" i="3"/>
  <c r="AJ61" i="3" s="1"/>
  <c r="AG61" i="3"/>
  <c r="AE61" i="3"/>
  <c r="AI60" i="3"/>
  <c r="AJ60" i="3" s="1"/>
  <c r="AG60" i="3"/>
  <c r="AE60" i="3"/>
  <c r="AI59" i="3"/>
  <c r="AJ59" i="3" s="1"/>
  <c r="AG59" i="3"/>
  <c r="AE59" i="3"/>
  <c r="AI58" i="3"/>
  <c r="AJ58" i="3" s="1"/>
  <c r="AG58" i="3"/>
  <c r="AE58" i="3"/>
  <c r="AI57" i="3"/>
  <c r="AJ57" i="3" s="1"/>
  <c r="AG57" i="3"/>
  <c r="AE57" i="3"/>
  <c r="AI56" i="3"/>
  <c r="AJ56" i="3" s="1"/>
  <c r="AG56" i="3"/>
  <c r="AE56" i="3"/>
  <c r="AI55" i="3"/>
  <c r="AJ55" i="3" s="1"/>
  <c r="AG55" i="3"/>
  <c r="AE55" i="3"/>
  <c r="AI54" i="3"/>
  <c r="AJ54" i="3" s="1"/>
  <c r="AG54" i="3"/>
  <c r="AE54" i="3"/>
  <c r="AI53" i="3"/>
  <c r="AJ53" i="3" s="1"/>
  <c r="AG53" i="3"/>
  <c r="AE53" i="3"/>
  <c r="AI52" i="3"/>
  <c r="AJ52" i="3" s="1"/>
  <c r="AG52" i="3"/>
  <c r="AE52" i="3"/>
  <c r="AI51" i="3"/>
  <c r="AJ51" i="3" s="1"/>
  <c r="AG51" i="3"/>
  <c r="AE51" i="3"/>
  <c r="AI50" i="3"/>
  <c r="AJ50" i="3" s="1"/>
  <c r="AG50" i="3"/>
  <c r="AE50" i="3"/>
  <c r="AI49" i="3"/>
  <c r="AJ49" i="3" s="1"/>
  <c r="AG49" i="3"/>
  <c r="AE49" i="3"/>
  <c r="AI48" i="3"/>
  <c r="AJ48" i="3" s="1"/>
  <c r="AG48" i="3"/>
  <c r="AE48" i="3"/>
  <c r="AI47" i="3"/>
  <c r="AJ47" i="3" s="1"/>
  <c r="AG47" i="3"/>
  <c r="AE47" i="3"/>
  <c r="AI46" i="3"/>
  <c r="AJ46" i="3" s="1"/>
  <c r="AG46" i="3"/>
  <c r="AE46" i="3"/>
  <c r="AI45" i="3"/>
  <c r="AJ45" i="3" s="1"/>
  <c r="AG45" i="3"/>
  <c r="AE45" i="3"/>
  <c r="AI44" i="3"/>
  <c r="AJ44" i="3" s="1"/>
  <c r="AG44" i="3"/>
  <c r="AE44" i="3"/>
  <c r="AI43" i="3"/>
  <c r="AJ43" i="3" s="1"/>
  <c r="AG43" i="3"/>
  <c r="AE43" i="3"/>
  <c r="AI42" i="3"/>
  <c r="AJ42" i="3" s="1"/>
  <c r="AG42" i="3"/>
  <c r="AE42" i="3"/>
  <c r="AI41" i="3"/>
  <c r="AJ41" i="3" s="1"/>
  <c r="AG41" i="3"/>
  <c r="AE41" i="3"/>
  <c r="AI40" i="3"/>
  <c r="AJ40" i="3" s="1"/>
  <c r="AG40" i="3"/>
  <c r="AE40" i="3"/>
  <c r="AI39" i="3"/>
  <c r="AJ39" i="3" s="1"/>
  <c r="AG39" i="3"/>
  <c r="AE39" i="3"/>
  <c r="AI38" i="3"/>
  <c r="AJ38" i="3" s="1"/>
  <c r="AG38" i="3"/>
  <c r="AE38" i="3"/>
  <c r="AI37" i="3"/>
  <c r="AJ37" i="3" s="1"/>
  <c r="AG37" i="3"/>
  <c r="AE37" i="3"/>
  <c r="AI36" i="3"/>
  <c r="AJ36" i="3" s="1"/>
  <c r="AG36" i="3"/>
  <c r="AE36" i="3"/>
  <c r="AI35" i="3"/>
  <c r="AJ35" i="3" s="1"/>
  <c r="AG35" i="3"/>
  <c r="AE35" i="3"/>
  <c r="AI34" i="3"/>
  <c r="AJ34" i="3" s="1"/>
  <c r="AG34" i="3"/>
  <c r="AE34" i="3"/>
  <c r="AI33" i="3"/>
  <c r="AJ33" i="3" s="1"/>
  <c r="AG33" i="3"/>
  <c r="AE33" i="3"/>
  <c r="AI32" i="3"/>
  <c r="AJ32" i="3" s="1"/>
  <c r="AG32" i="3"/>
  <c r="AE32" i="3"/>
  <c r="AI31" i="3"/>
  <c r="AJ31" i="3" s="1"/>
  <c r="AG31" i="3"/>
  <c r="AE31" i="3"/>
  <c r="AI30" i="3"/>
  <c r="AJ30" i="3" s="1"/>
  <c r="AG30" i="3"/>
  <c r="AE30" i="3"/>
  <c r="AI29" i="3"/>
  <c r="AJ29" i="3" s="1"/>
  <c r="AG29" i="3"/>
  <c r="AE29" i="3"/>
  <c r="AI28" i="3"/>
  <c r="AJ28" i="3" s="1"/>
  <c r="AG28" i="3"/>
  <c r="AE28" i="3"/>
  <c r="AI27" i="3"/>
  <c r="AJ27" i="3" s="1"/>
  <c r="AG27" i="3"/>
  <c r="AE27" i="3"/>
  <c r="AI26" i="3"/>
  <c r="AJ26" i="3" s="1"/>
  <c r="AG26" i="3"/>
  <c r="AE26" i="3"/>
  <c r="AI25" i="3"/>
  <c r="AJ25" i="3" s="1"/>
  <c r="AG25" i="3"/>
  <c r="AE25" i="3"/>
  <c r="U61" i="3"/>
  <c r="V61" i="3" s="1"/>
  <c r="S61" i="3"/>
  <c r="Q61" i="3"/>
  <c r="U60" i="3"/>
  <c r="V60" i="3" s="1"/>
  <c r="S60" i="3"/>
  <c r="Q60" i="3"/>
  <c r="U59" i="3"/>
  <c r="V59" i="3" s="1"/>
  <c r="S59" i="3"/>
  <c r="Q59" i="3"/>
  <c r="U58" i="3"/>
  <c r="V58" i="3" s="1"/>
  <c r="S58" i="3"/>
  <c r="Q58" i="3"/>
  <c r="U57" i="3"/>
  <c r="V57" i="3" s="1"/>
  <c r="S57" i="3"/>
  <c r="Q57" i="3"/>
  <c r="U56" i="3"/>
  <c r="V56" i="3" s="1"/>
  <c r="S56" i="3"/>
  <c r="Q56" i="3"/>
  <c r="U55" i="3"/>
  <c r="V55" i="3" s="1"/>
  <c r="S55" i="3"/>
  <c r="Q55" i="3"/>
  <c r="U54" i="3"/>
  <c r="V54" i="3" s="1"/>
  <c r="S54" i="3"/>
  <c r="Q54" i="3"/>
  <c r="U53" i="3"/>
  <c r="V53" i="3" s="1"/>
  <c r="S53" i="3"/>
  <c r="Q53" i="3"/>
  <c r="U52" i="3"/>
  <c r="V52" i="3" s="1"/>
  <c r="S52" i="3"/>
  <c r="Q52" i="3"/>
  <c r="U51" i="3"/>
  <c r="V51" i="3" s="1"/>
  <c r="S51" i="3"/>
  <c r="Q51" i="3"/>
  <c r="U50" i="3"/>
  <c r="V50" i="3" s="1"/>
  <c r="S50" i="3"/>
  <c r="Q50" i="3"/>
  <c r="U49" i="3"/>
  <c r="V49" i="3" s="1"/>
  <c r="S49" i="3"/>
  <c r="Q49" i="3"/>
  <c r="U48" i="3"/>
  <c r="V48" i="3" s="1"/>
  <c r="S48" i="3"/>
  <c r="Q48" i="3"/>
  <c r="U47" i="3"/>
  <c r="V47" i="3" s="1"/>
  <c r="S47" i="3"/>
  <c r="Q47" i="3"/>
  <c r="U46" i="3"/>
  <c r="V46" i="3" s="1"/>
  <c r="S46" i="3"/>
  <c r="Q46" i="3"/>
  <c r="U45" i="3"/>
  <c r="V45" i="3" s="1"/>
  <c r="S45" i="3"/>
  <c r="Q45" i="3"/>
  <c r="U44" i="3"/>
  <c r="V44" i="3" s="1"/>
  <c r="S44" i="3"/>
  <c r="Q44" i="3"/>
  <c r="U43" i="3"/>
  <c r="V43" i="3" s="1"/>
  <c r="S43" i="3"/>
  <c r="Q43" i="3"/>
  <c r="U42" i="3"/>
  <c r="V42" i="3" s="1"/>
  <c r="S42" i="3"/>
  <c r="Q42" i="3"/>
  <c r="U41" i="3"/>
  <c r="V41" i="3" s="1"/>
  <c r="S41" i="3"/>
  <c r="Q41" i="3"/>
  <c r="U40" i="3"/>
  <c r="V40" i="3" s="1"/>
  <c r="S40" i="3"/>
  <c r="Q40" i="3"/>
  <c r="U39" i="3"/>
  <c r="V39" i="3" s="1"/>
  <c r="S39" i="3"/>
  <c r="Q39" i="3"/>
  <c r="U38" i="3"/>
  <c r="V38" i="3" s="1"/>
  <c r="S38" i="3"/>
  <c r="Q38" i="3"/>
  <c r="U37" i="3"/>
  <c r="V37" i="3" s="1"/>
  <c r="S37" i="3"/>
  <c r="Q37" i="3"/>
  <c r="U36" i="3"/>
  <c r="V36" i="3" s="1"/>
  <c r="S36" i="3"/>
  <c r="Q36" i="3"/>
  <c r="U35" i="3"/>
  <c r="V35" i="3" s="1"/>
  <c r="S35" i="3"/>
  <c r="Q35" i="3"/>
  <c r="U34" i="3"/>
  <c r="V34" i="3" s="1"/>
  <c r="S34" i="3"/>
  <c r="Q34" i="3"/>
  <c r="U33" i="3"/>
  <c r="V33" i="3" s="1"/>
  <c r="S33" i="3"/>
  <c r="Q33" i="3"/>
  <c r="U32" i="3"/>
  <c r="V32" i="3" s="1"/>
  <c r="S32" i="3"/>
  <c r="Q32" i="3"/>
  <c r="U31" i="3"/>
  <c r="V31" i="3" s="1"/>
  <c r="S31" i="3"/>
  <c r="Q31" i="3"/>
  <c r="U30" i="3"/>
  <c r="V30" i="3" s="1"/>
  <c r="S30" i="3"/>
  <c r="Q30" i="3"/>
  <c r="U29" i="3"/>
  <c r="V29" i="3" s="1"/>
  <c r="S29" i="3"/>
  <c r="Q29" i="3"/>
  <c r="U28" i="3"/>
  <c r="V28" i="3" s="1"/>
  <c r="S28" i="3"/>
  <c r="Q28" i="3"/>
  <c r="U27" i="3"/>
  <c r="V27" i="3" s="1"/>
  <c r="S27" i="3"/>
  <c r="Q27" i="3"/>
  <c r="U26" i="3"/>
  <c r="V26" i="3" s="1"/>
  <c r="S26" i="3"/>
  <c r="Q26" i="3"/>
  <c r="U25" i="3"/>
  <c r="V25" i="3" s="1"/>
  <c r="S25" i="3"/>
  <c r="Q25" i="3"/>
  <c r="H60" i="3"/>
  <c r="H59" i="3"/>
  <c r="H58" i="3"/>
  <c r="H57" i="3"/>
  <c r="H56" i="3"/>
  <c r="H55" i="3"/>
  <c r="H54" i="3"/>
  <c r="H53" i="3"/>
  <c r="H52" i="3"/>
  <c r="H51" i="3"/>
  <c r="H50" i="3"/>
  <c r="H49" i="3"/>
  <c r="H48" i="3"/>
  <c r="H47" i="3"/>
  <c r="H46" i="3"/>
  <c r="H45" i="3"/>
  <c r="H44" i="3"/>
  <c r="H43" i="3"/>
  <c r="H42" i="3"/>
  <c r="H41" i="3"/>
  <c r="H40" i="3"/>
  <c r="H39" i="3"/>
  <c r="H38" i="3"/>
  <c r="H37" i="3"/>
  <c r="H36" i="3"/>
  <c r="H35" i="3"/>
  <c r="H34" i="3"/>
  <c r="H33" i="3"/>
  <c r="H32" i="3"/>
  <c r="H31" i="3"/>
  <c r="H30" i="3"/>
  <c r="H29" i="3"/>
  <c r="H28" i="3"/>
  <c r="H27" i="3"/>
  <c r="H26" i="3"/>
  <c r="H25" i="3"/>
  <c r="H24" i="3"/>
  <c r="D40" i="6" l="1"/>
  <c r="B20" i="4" l="1"/>
  <c r="H21" i="3"/>
  <c r="Q21" i="3"/>
  <c r="S21" i="3"/>
  <c r="U21" i="3"/>
  <c r="V21" i="3" s="1"/>
  <c r="AE21" i="3"/>
  <c r="AG21" i="3"/>
  <c r="AI21" i="3"/>
  <c r="AJ21" i="3" s="1"/>
  <c r="AS21" i="3"/>
  <c r="AU21" i="3"/>
  <c r="AW21" i="3"/>
  <c r="AX21" i="3" s="1"/>
  <c r="BG21" i="3"/>
  <c r="BI21" i="3"/>
  <c r="BK21" i="3"/>
  <c r="BL21" i="3" s="1"/>
  <c r="BU21" i="3"/>
  <c r="BW21" i="3"/>
  <c r="BY21" i="3"/>
  <c r="BZ21" i="3" s="1"/>
  <c r="H22" i="3"/>
  <c r="H23" i="3"/>
  <c r="H61" i="3"/>
  <c r="H62" i="3"/>
  <c r="H63" i="3"/>
  <c r="H64" i="3"/>
  <c r="H65" i="3"/>
  <c r="H66" i="3"/>
  <c r="H67" i="3"/>
  <c r="H68" i="3"/>
  <c r="N56" i="5"/>
  <c r="N57" i="5"/>
  <c r="U56" i="5"/>
  <c r="U57" i="5"/>
  <c r="X57" i="5"/>
  <c r="X56" i="5"/>
  <c r="K52" i="5" l="1"/>
  <c r="K54" i="5" s="1"/>
  <c r="K55" i="5" s="1"/>
  <c r="B57" i="2" l="1"/>
  <c r="B15" i="2"/>
  <c r="B63" i="5"/>
  <c r="AF30" i="5"/>
  <c r="AF27" i="5"/>
  <c r="AF25" i="5"/>
  <c r="E70" i="6" l="1"/>
  <c r="E69" i="6"/>
  <c r="E66" i="6"/>
  <c r="E64" i="6"/>
  <c r="B11" i="2" l="1"/>
  <c r="D39" i="6" l="1"/>
  <c r="F8" i="2" l="1"/>
  <c r="F77" i="6" l="1"/>
  <c r="F79" i="6"/>
  <c r="E172" i="6"/>
  <c r="E174" i="6"/>
  <c r="E175" i="6"/>
  <c r="E176" i="6"/>
  <c r="E177" i="6"/>
  <c r="E178" i="6"/>
  <c r="E179" i="6"/>
  <c r="F20" i="5" l="1"/>
  <c r="J120" i="3" s="1"/>
  <c r="G26" i="4" l="1"/>
  <c r="G25" i="4"/>
  <c r="G24" i="4"/>
  <c r="G23" i="4"/>
  <c r="G29" i="4"/>
  <c r="G28" i="4"/>
  <c r="G20" i="4"/>
  <c r="G30" i="4"/>
  <c r="G21" i="4"/>
  <c r="G27" i="4"/>
  <c r="G31" i="4"/>
  <c r="G22" i="4"/>
  <c r="I108" i="3"/>
  <c r="I104" i="3"/>
  <c r="I103" i="3"/>
  <c r="I109" i="3"/>
  <c r="I107" i="3"/>
  <c r="I106" i="3"/>
  <c r="I113" i="3"/>
  <c r="I105" i="3"/>
  <c r="I111" i="3"/>
  <c r="I110" i="3"/>
  <c r="I112" i="3"/>
  <c r="I102" i="3"/>
  <c r="D74" i="3" l="1"/>
  <c r="B12" i="2" l="1"/>
  <c r="A50" i="2"/>
  <c r="A49" i="2"/>
  <c r="A48" i="2"/>
  <c r="AD52" i="5" l="1"/>
  <c r="C51" i="2"/>
  <c r="D78" i="5" l="1"/>
  <c r="D77" i="5" l="1"/>
  <c r="D69" i="5"/>
  <c r="AF28" i="5"/>
  <c r="C77" i="3" l="1"/>
  <c r="P52" i="5" l="1"/>
  <c r="P54" i="5" s="1"/>
  <c r="P55" i="5" s="1"/>
  <c r="J52" i="5"/>
  <c r="J54" i="5" s="1"/>
  <c r="J55" i="5" s="1"/>
  <c r="BY10" i="3" l="1"/>
  <c r="BZ10" i="3" s="1"/>
  <c r="BY11" i="3"/>
  <c r="BZ11" i="3" s="1"/>
  <c r="BY12" i="3"/>
  <c r="BZ12" i="3" s="1"/>
  <c r="BY13" i="3"/>
  <c r="BZ13" i="3" s="1"/>
  <c r="BY14" i="3"/>
  <c r="BZ14" i="3" s="1"/>
  <c r="BY15" i="3"/>
  <c r="BZ15" i="3" s="1"/>
  <c r="BY16" i="3"/>
  <c r="BZ16" i="3" s="1"/>
  <c r="BY17" i="3"/>
  <c r="BZ17" i="3" s="1"/>
  <c r="BY18" i="3"/>
  <c r="BZ18" i="3" s="1"/>
  <c r="BY19" i="3"/>
  <c r="BZ19" i="3" s="1"/>
  <c r="BY20" i="3"/>
  <c r="BZ20" i="3" s="1"/>
  <c r="BY22" i="3"/>
  <c r="BZ22" i="3" s="1"/>
  <c r="BY23" i="3"/>
  <c r="BZ23" i="3" s="1"/>
  <c r="BY24" i="3"/>
  <c r="BZ24" i="3" s="1"/>
  <c r="BY62" i="3"/>
  <c r="BZ62" i="3" s="1"/>
  <c r="BY63" i="3"/>
  <c r="BZ63" i="3" s="1"/>
  <c r="BY64" i="3"/>
  <c r="BZ64" i="3" s="1"/>
  <c r="BY65" i="3"/>
  <c r="BZ65" i="3" s="1"/>
  <c r="BY66" i="3"/>
  <c r="BZ66" i="3" s="1"/>
  <c r="BY67" i="3"/>
  <c r="BZ67" i="3" s="1"/>
  <c r="BY68" i="3"/>
  <c r="BZ68" i="3" s="1"/>
  <c r="BY9" i="3"/>
  <c r="BZ9" i="3" s="1"/>
  <c r="BW10" i="3"/>
  <c r="BW11" i="3"/>
  <c r="BW12" i="3"/>
  <c r="BW13" i="3"/>
  <c r="BW14" i="3"/>
  <c r="BW15" i="3"/>
  <c r="BW16" i="3"/>
  <c r="BW17" i="3"/>
  <c r="BW18" i="3"/>
  <c r="BW19" i="3"/>
  <c r="BW20" i="3"/>
  <c r="BW22" i="3"/>
  <c r="BW23" i="3"/>
  <c r="BW24" i="3"/>
  <c r="BW62" i="3"/>
  <c r="BW63" i="3"/>
  <c r="BW64" i="3"/>
  <c r="BW65" i="3"/>
  <c r="BW66" i="3"/>
  <c r="BW67" i="3"/>
  <c r="BW68" i="3"/>
  <c r="BW9" i="3"/>
  <c r="BK10" i="3"/>
  <c r="BL10" i="3" s="1"/>
  <c r="BK11" i="3"/>
  <c r="BL11" i="3" s="1"/>
  <c r="BK12" i="3"/>
  <c r="BL12" i="3" s="1"/>
  <c r="BK13" i="3"/>
  <c r="BL13" i="3" s="1"/>
  <c r="BK14" i="3"/>
  <c r="BL14" i="3" s="1"/>
  <c r="BK15" i="3"/>
  <c r="BL15" i="3" s="1"/>
  <c r="BK16" i="3"/>
  <c r="BL16" i="3" s="1"/>
  <c r="BK17" i="3"/>
  <c r="BL17" i="3" s="1"/>
  <c r="BK18" i="3"/>
  <c r="BL18" i="3" s="1"/>
  <c r="BK19" i="3"/>
  <c r="BL19" i="3" s="1"/>
  <c r="BK20" i="3"/>
  <c r="BL20" i="3" s="1"/>
  <c r="BK22" i="3"/>
  <c r="BL22" i="3" s="1"/>
  <c r="BK23" i="3"/>
  <c r="BL23" i="3" s="1"/>
  <c r="BK24" i="3"/>
  <c r="BL24" i="3" s="1"/>
  <c r="BK62" i="3"/>
  <c r="BL62" i="3" s="1"/>
  <c r="BK63" i="3"/>
  <c r="BL63" i="3" s="1"/>
  <c r="BK64" i="3"/>
  <c r="BL64" i="3" s="1"/>
  <c r="BK65" i="3"/>
  <c r="BL65" i="3" s="1"/>
  <c r="BK66" i="3"/>
  <c r="BL66" i="3" s="1"/>
  <c r="BK67" i="3"/>
  <c r="BL67" i="3" s="1"/>
  <c r="BK68" i="3"/>
  <c r="BL68" i="3" s="1"/>
  <c r="BK9" i="3"/>
  <c r="BL9" i="3" s="1"/>
  <c r="BI10" i="3"/>
  <c r="BI11" i="3"/>
  <c r="BI12" i="3"/>
  <c r="BI13" i="3"/>
  <c r="BI14" i="3"/>
  <c r="BI15" i="3"/>
  <c r="BI16" i="3"/>
  <c r="BI17" i="3"/>
  <c r="BI18" i="3"/>
  <c r="BI19" i="3"/>
  <c r="BI20" i="3"/>
  <c r="BI22" i="3"/>
  <c r="BI23" i="3"/>
  <c r="BI24" i="3"/>
  <c r="BI62" i="3"/>
  <c r="BI63" i="3"/>
  <c r="BI64" i="3"/>
  <c r="BI65" i="3"/>
  <c r="BI66" i="3"/>
  <c r="BI67" i="3"/>
  <c r="BI68" i="3"/>
  <c r="BI9" i="3"/>
  <c r="AW10" i="3"/>
  <c r="AX10" i="3" s="1"/>
  <c r="AW11" i="3"/>
  <c r="AX11" i="3" s="1"/>
  <c r="AW12" i="3"/>
  <c r="AX12" i="3" s="1"/>
  <c r="AW13" i="3"/>
  <c r="AX13" i="3" s="1"/>
  <c r="AW14" i="3"/>
  <c r="AX14" i="3" s="1"/>
  <c r="AW15" i="3"/>
  <c r="AX15" i="3" s="1"/>
  <c r="AW16" i="3"/>
  <c r="AX16" i="3" s="1"/>
  <c r="AW17" i="3"/>
  <c r="AX17" i="3" s="1"/>
  <c r="AW18" i="3"/>
  <c r="AX18" i="3" s="1"/>
  <c r="AW19" i="3"/>
  <c r="AX19" i="3" s="1"/>
  <c r="AW20" i="3"/>
  <c r="AX20" i="3" s="1"/>
  <c r="AW22" i="3"/>
  <c r="AX22" i="3" s="1"/>
  <c r="AW23" i="3"/>
  <c r="AX23" i="3" s="1"/>
  <c r="AW24" i="3"/>
  <c r="AX24" i="3" s="1"/>
  <c r="AW62" i="3"/>
  <c r="AX62" i="3" s="1"/>
  <c r="AW63" i="3"/>
  <c r="AX63" i="3" s="1"/>
  <c r="AW64" i="3"/>
  <c r="AX64" i="3" s="1"/>
  <c r="AW65" i="3"/>
  <c r="AX65" i="3" s="1"/>
  <c r="AW66" i="3"/>
  <c r="AX66" i="3" s="1"/>
  <c r="AW67" i="3"/>
  <c r="AX67" i="3" s="1"/>
  <c r="AW68" i="3"/>
  <c r="AX68" i="3" s="1"/>
  <c r="AW9" i="3"/>
  <c r="AX9" i="3" s="1"/>
  <c r="AU10" i="3"/>
  <c r="AU11" i="3"/>
  <c r="AU12" i="3"/>
  <c r="AU13" i="3"/>
  <c r="AU14" i="3"/>
  <c r="AU15" i="3"/>
  <c r="AU16" i="3"/>
  <c r="AU17" i="3"/>
  <c r="AU18" i="3"/>
  <c r="AU19" i="3"/>
  <c r="AU20" i="3"/>
  <c r="AU22" i="3"/>
  <c r="AU23" i="3"/>
  <c r="AU24" i="3"/>
  <c r="AU62" i="3"/>
  <c r="AU63" i="3"/>
  <c r="AU64" i="3"/>
  <c r="AU65" i="3"/>
  <c r="AU66" i="3"/>
  <c r="AU67" i="3"/>
  <c r="AU68" i="3"/>
  <c r="AU9" i="3"/>
  <c r="AI10" i="3"/>
  <c r="AJ10" i="3" s="1"/>
  <c r="AI11" i="3"/>
  <c r="AJ11" i="3" s="1"/>
  <c r="AI12" i="3"/>
  <c r="AJ12" i="3" s="1"/>
  <c r="AI13" i="3"/>
  <c r="AJ13" i="3" s="1"/>
  <c r="AI14" i="3"/>
  <c r="AJ14" i="3" s="1"/>
  <c r="AI15" i="3"/>
  <c r="AJ15" i="3" s="1"/>
  <c r="AI16" i="3"/>
  <c r="AJ16" i="3" s="1"/>
  <c r="AI17" i="3"/>
  <c r="AJ17" i="3" s="1"/>
  <c r="AI18" i="3"/>
  <c r="AJ18" i="3" s="1"/>
  <c r="AI19" i="3"/>
  <c r="AJ19" i="3" s="1"/>
  <c r="AI20" i="3"/>
  <c r="AJ20" i="3" s="1"/>
  <c r="AI22" i="3"/>
  <c r="AJ22" i="3" s="1"/>
  <c r="AI23" i="3"/>
  <c r="AJ23" i="3" s="1"/>
  <c r="AI24" i="3"/>
  <c r="AJ24" i="3" s="1"/>
  <c r="AI62" i="3"/>
  <c r="AJ62" i="3" s="1"/>
  <c r="AI63" i="3"/>
  <c r="AJ63" i="3" s="1"/>
  <c r="AI64" i="3"/>
  <c r="AJ64" i="3" s="1"/>
  <c r="AI65" i="3"/>
  <c r="AJ65" i="3" s="1"/>
  <c r="AI66" i="3"/>
  <c r="AJ66" i="3" s="1"/>
  <c r="AI67" i="3"/>
  <c r="AJ67" i="3" s="1"/>
  <c r="AI68" i="3"/>
  <c r="AJ68" i="3" s="1"/>
  <c r="AI9" i="3"/>
  <c r="AJ9" i="3" s="1"/>
  <c r="AG10" i="3"/>
  <c r="AG11" i="3"/>
  <c r="AG12" i="3"/>
  <c r="AG13" i="3"/>
  <c r="AG14" i="3"/>
  <c r="AG15" i="3"/>
  <c r="AG16" i="3"/>
  <c r="AG17" i="3"/>
  <c r="AG18" i="3"/>
  <c r="AG19" i="3"/>
  <c r="AG20" i="3"/>
  <c r="AG22" i="3"/>
  <c r="AG23" i="3"/>
  <c r="AG24" i="3"/>
  <c r="AG62" i="3"/>
  <c r="AG63" i="3"/>
  <c r="AG64" i="3"/>
  <c r="AG65" i="3"/>
  <c r="AG66" i="3"/>
  <c r="AG67" i="3"/>
  <c r="AG68" i="3"/>
  <c r="AG9" i="3"/>
  <c r="U10" i="3"/>
  <c r="V10" i="3" s="1"/>
  <c r="U11" i="3"/>
  <c r="V11" i="3" s="1"/>
  <c r="U12" i="3"/>
  <c r="V12" i="3" s="1"/>
  <c r="U13" i="3"/>
  <c r="V13" i="3" s="1"/>
  <c r="U14" i="3"/>
  <c r="V14" i="3" s="1"/>
  <c r="U15" i="3"/>
  <c r="V15" i="3" s="1"/>
  <c r="U16" i="3"/>
  <c r="V16" i="3" s="1"/>
  <c r="U17" i="3"/>
  <c r="V17" i="3" s="1"/>
  <c r="U18" i="3"/>
  <c r="V18" i="3" s="1"/>
  <c r="U19" i="3"/>
  <c r="V19" i="3" s="1"/>
  <c r="U20" i="3"/>
  <c r="V20" i="3" s="1"/>
  <c r="U22" i="3"/>
  <c r="V22" i="3" s="1"/>
  <c r="U23" i="3"/>
  <c r="V23" i="3" s="1"/>
  <c r="U24" i="3"/>
  <c r="V24" i="3" s="1"/>
  <c r="U62" i="3"/>
  <c r="V62" i="3" s="1"/>
  <c r="U63" i="3"/>
  <c r="V63" i="3" s="1"/>
  <c r="U64" i="3"/>
  <c r="V64" i="3" s="1"/>
  <c r="U65" i="3"/>
  <c r="V65" i="3" s="1"/>
  <c r="U66" i="3"/>
  <c r="V66" i="3" s="1"/>
  <c r="U67" i="3"/>
  <c r="V67" i="3" s="1"/>
  <c r="U68" i="3"/>
  <c r="V68" i="3" s="1"/>
  <c r="U9" i="3"/>
  <c r="V9" i="3" s="1"/>
  <c r="S10" i="3"/>
  <c r="S11" i="3"/>
  <c r="S12" i="3"/>
  <c r="S13" i="3"/>
  <c r="S14" i="3"/>
  <c r="S15" i="3"/>
  <c r="S16" i="3"/>
  <c r="S17" i="3"/>
  <c r="S18" i="3"/>
  <c r="S19" i="3"/>
  <c r="S20" i="3"/>
  <c r="S22" i="3"/>
  <c r="S23" i="3"/>
  <c r="S24" i="3"/>
  <c r="S62" i="3"/>
  <c r="S63" i="3"/>
  <c r="S64" i="3"/>
  <c r="S65" i="3"/>
  <c r="S66" i="3"/>
  <c r="S67" i="3"/>
  <c r="S68" i="3"/>
  <c r="S9" i="3"/>
  <c r="B46" i="2" l="1"/>
  <c r="F7" i="2"/>
  <c r="B91" i="3"/>
  <c r="B92" i="3"/>
  <c r="B93" i="3"/>
  <c r="B94" i="3"/>
  <c r="B95" i="3"/>
  <c r="B96" i="3"/>
  <c r="B97" i="3"/>
  <c r="B98" i="3"/>
  <c r="B99" i="3"/>
  <c r="B100" i="3"/>
  <c r="B101" i="3"/>
  <c r="B102" i="3"/>
  <c r="B103" i="3"/>
  <c r="B104" i="3"/>
  <c r="B105" i="3"/>
  <c r="B106" i="3"/>
  <c r="B107" i="3"/>
  <c r="B108" i="3"/>
  <c r="B109" i="3"/>
  <c r="B110" i="3"/>
  <c r="B111" i="3"/>
  <c r="B112" i="3"/>
  <c r="B113" i="3"/>
  <c r="B90" i="3"/>
  <c r="H24" i="5"/>
  <c r="N52" i="5" l="1"/>
  <c r="B48" i="2" s="1"/>
  <c r="N55" i="5" l="1"/>
  <c r="E69" i="5" s="1"/>
  <c r="B5" i="2"/>
  <c r="AC52" i="5" l="1"/>
  <c r="AB52" i="5"/>
  <c r="C80" i="4" s="1"/>
  <c r="X52" i="5"/>
  <c r="W52" i="5"/>
  <c r="V52" i="5"/>
  <c r="B52" i="2" s="1"/>
  <c r="U52" i="5"/>
  <c r="B49" i="2" s="1"/>
  <c r="T52" i="5"/>
  <c r="R52" i="5"/>
  <c r="Q52" i="5"/>
  <c r="Q54" i="5" s="1"/>
  <c r="Q55" i="5" s="1"/>
  <c r="O52" i="5"/>
  <c r="O54" i="5" s="1"/>
  <c r="O55" i="5" s="1"/>
  <c r="F18" i="5"/>
  <c r="B66" i="4"/>
  <c r="B65" i="4"/>
  <c r="B64" i="4"/>
  <c r="B63" i="4"/>
  <c r="B62" i="4"/>
  <c r="B61" i="4"/>
  <c r="B60" i="4"/>
  <c r="B22" i="4"/>
  <c r="B21" i="4"/>
  <c r="B19" i="4"/>
  <c r="B18" i="4"/>
  <c r="B17" i="4"/>
  <c r="B16" i="4"/>
  <c r="B15" i="4"/>
  <c r="B14" i="4"/>
  <c r="B13" i="4"/>
  <c r="B12" i="4"/>
  <c r="B11" i="4"/>
  <c r="B10" i="4"/>
  <c r="B9" i="4"/>
  <c r="B8" i="4"/>
  <c r="C142" i="3"/>
  <c r="C141" i="3"/>
  <c r="C140" i="3"/>
  <c r="C139" i="3"/>
  <c r="C138" i="3"/>
  <c r="C136" i="3"/>
  <c r="C135" i="3"/>
  <c r="C134" i="3"/>
  <c r="C133" i="3"/>
  <c r="C132" i="3"/>
  <c r="I130" i="3"/>
  <c r="H130" i="3"/>
  <c r="G130" i="3"/>
  <c r="F130" i="3"/>
  <c r="E130" i="3"/>
  <c r="D130" i="3"/>
  <c r="C125" i="3"/>
  <c r="B125" i="3"/>
  <c r="C124" i="3"/>
  <c r="B124" i="3"/>
  <c r="C123" i="3"/>
  <c r="B123" i="3"/>
  <c r="C122" i="3"/>
  <c r="B122" i="3"/>
  <c r="C121" i="3"/>
  <c r="B121" i="3"/>
  <c r="I120" i="3"/>
  <c r="C120" i="3"/>
  <c r="B120" i="3"/>
  <c r="D31" i="4"/>
  <c r="D30" i="4"/>
  <c r="D29" i="4"/>
  <c r="D28" i="4"/>
  <c r="D27" i="4"/>
  <c r="D26" i="4"/>
  <c r="D25" i="4"/>
  <c r="D24" i="4"/>
  <c r="D23" i="4"/>
  <c r="D22" i="4"/>
  <c r="D21" i="4"/>
  <c r="D20" i="4"/>
  <c r="C82" i="3"/>
  <c r="C81" i="3"/>
  <c r="C80" i="3"/>
  <c r="C79" i="3"/>
  <c r="C78" i="3"/>
  <c r="C76" i="3"/>
  <c r="I74" i="3"/>
  <c r="H74" i="3"/>
  <c r="G74" i="3"/>
  <c r="F74" i="3"/>
  <c r="E74" i="3"/>
  <c r="BU68" i="3"/>
  <c r="BG68" i="3"/>
  <c r="AS68" i="3"/>
  <c r="AE68" i="3"/>
  <c r="Q68" i="3"/>
  <c r="BU67" i="3"/>
  <c r="BG67" i="3"/>
  <c r="AS67" i="3"/>
  <c r="AE67" i="3"/>
  <c r="Q67" i="3"/>
  <c r="BU66" i="3"/>
  <c r="BG66" i="3"/>
  <c r="AS66" i="3"/>
  <c r="AE66" i="3"/>
  <c r="Q66" i="3"/>
  <c r="BU65" i="3"/>
  <c r="BG65" i="3"/>
  <c r="AS65" i="3"/>
  <c r="AE65" i="3"/>
  <c r="Q65" i="3"/>
  <c r="BU64" i="3"/>
  <c r="BG64" i="3"/>
  <c r="AS64" i="3"/>
  <c r="AE64" i="3"/>
  <c r="Q64" i="3"/>
  <c r="BU63" i="3"/>
  <c r="BG63" i="3"/>
  <c r="AS63" i="3"/>
  <c r="AE63" i="3"/>
  <c r="Q63" i="3"/>
  <c r="BU62" i="3"/>
  <c r="BG62" i="3"/>
  <c r="AS62" i="3"/>
  <c r="AE62" i="3"/>
  <c r="Q62" i="3"/>
  <c r="BU24" i="3"/>
  <c r="BG24" i="3"/>
  <c r="AS24" i="3"/>
  <c r="AE24" i="3"/>
  <c r="Q24" i="3"/>
  <c r="BU23" i="3"/>
  <c r="BG23" i="3"/>
  <c r="AS23" i="3"/>
  <c r="AE23" i="3"/>
  <c r="Q23" i="3"/>
  <c r="BU22" i="3"/>
  <c r="BG22" i="3"/>
  <c r="AS22" i="3"/>
  <c r="AE22" i="3"/>
  <c r="Q22" i="3"/>
  <c r="BU20" i="3"/>
  <c r="BG20" i="3"/>
  <c r="AS20" i="3"/>
  <c r="AE20" i="3"/>
  <c r="Q20" i="3"/>
  <c r="BU19" i="3"/>
  <c r="BG19" i="3"/>
  <c r="AS19" i="3"/>
  <c r="AE19" i="3"/>
  <c r="Q19" i="3"/>
  <c r="BU18" i="3"/>
  <c r="BG18" i="3"/>
  <c r="AS18" i="3"/>
  <c r="AE18" i="3"/>
  <c r="Q18" i="3"/>
  <c r="BU17" i="3"/>
  <c r="BG17" i="3"/>
  <c r="AS17" i="3"/>
  <c r="AE17" i="3"/>
  <c r="Q17" i="3"/>
  <c r="BU16" i="3"/>
  <c r="BT16" i="3"/>
  <c r="E125" i="3" s="1"/>
  <c r="BG16" i="3"/>
  <c r="BF16" i="3"/>
  <c r="E124" i="3" s="1"/>
  <c r="AS16" i="3"/>
  <c r="AR16" i="3"/>
  <c r="E123" i="3" s="1"/>
  <c r="AE16" i="3"/>
  <c r="AD16" i="3"/>
  <c r="E122" i="3" s="1"/>
  <c r="Q16" i="3"/>
  <c r="P16" i="3"/>
  <c r="E121" i="3" s="1"/>
  <c r="B16" i="3"/>
  <c r="E120" i="3" s="1"/>
  <c r="BU15" i="3"/>
  <c r="BG15" i="3"/>
  <c r="AS15" i="3"/>
  <c r="AE15" i="3"/>
  <c r="Q15" i="3"/>
  <c r="BU14" i="3"/>
  <c r="BG14" i="3"/>
  <c r="AS14" i="3"/>
  <c r="AE14" i="3"/>
  <c r="Q14" i="3"/>
  <c r="BU13" i="3"/>
  <c r="BG13" i="3"/>
  <c r="AS13" i="3"/>
  <c r="AE13" i="3"/>
  <c r="Q13" i="3"/>
  <c r="BU12" i="3"/>
  <c r="BT12" i="3"/>
  <c r="BT20" i="3" s="1"/>
  <c r="BG12" i="3"/>
  <c r="BF12" i="3"/>
  <c r="BF20" i="3" s="1"/>
  <c r="AS12" i="3"/>
  <c r="AR12" i="3"/>
  <c r="AR20" i="3" s="1"/>
  <c r="AE12" i="3"/>
  <c r="AD12" i="3"/>
  <c r="Q12" i="3"/>
  <c r="P12" i="3"/>
  <c r="P20" i="3" s="1"/>
  <c r="B12" i="3"/>
  <c r="B20" i="3" s="1"/>
  <c r="BU11" i="3"/>
  <c r="BG11" i="3"/>
  <c r="AS11" i="3"/>
  <c r="AE11" i="3"/>
  <c r="Q11" i="3"/>
  <c r="BU10" i="3"/>
  <c r="BG10" i="3"/>
  <c r="AS10" i="3"/>
  <c r="AE10" i="3"/>
  <c r="Q10" i="3"/>
  <c r="BU9" i="3"/>
  <c r="BT9" i="3"/>
  <c r="BG9" i="3"/>
  <c r="BF9" i="3"/>
  <c r="AS9" i="3"/>
  <c r="AR9" i="3"/>
  <c r="AE9" i="3"/>
  <c r="AD9" i="3"/>
  <c r="Q9" i="3"/>
  <c r="P9" i="3"/>
  <c r="B60" i="2"/>
  <c r="B39" i="2"/>
  <c r="B38" i="2"/>
  <c r="B37" i="2"/>
  <c r="B14" i="2"/>
  <c r="B4" i="2"/>
  <c r="J9" i="3" l="1"/>
  <c r="BN9" i="3"/>
  <c r="BQ9" i="3" s="1"/>
  <c r="BR9" i="3" s="1"/>
  <c r="B65" i="2"/>
  <c r="B47" i="2"/>
  <c r="B53" i="2"/>
  <c r="B45" i="2"/>
  <c r="AB54" i="5"/>
  <c r="AB55" i="5" s="1"/>
  <c r="B51" i="2"/>
  <c r="B50" i="2"/>
  <c r="U55" i="5"/>
  <c r="E77" i="5" s="1"/>
  <c r="X55" i="5"/>
  <c r="E78" i="5" s="1"/>
  <c r="AD20" i="3"/>
  <c r="D121" i="3"/>
  <c r="X9" i="3"/>
  <c r="D123" i="3"/>
  <c r="AZ9" i="3"/>
  <c r="D124" i="3"/>
  <c r="D125" i="3"/>
  <c r="CB9" i="3"/>
  <c r="D120" i="3"/>
  <c r="M9" i="3" l="1"/>
  <c r="N9" i="3" s="1"/>
  <c r="AL9" i="3"/>
  <c r="AO9" i="3" s="1"/>
  <c r="AP9" i="3" s="1"/>
  <c r="H124" i="3"/>
  <c r="H143" i="3"/>
  <c r="H144" i="3" s="1"/>
  <c r="H83" i="3"/>
  <c r="H123" i="3"/>
  <c r="G143" i="3"/>
  <c r="G144" i="3" s="1"/>
  <c r="G83" i="3"/>
  <c r="H125" i="3"/>
  <c r="I143" i="3"/>
  <c r="I144" i="3" s="1"/>
  <c r="I83" i="3"/>
  <c r="H120" i="3"/>
  <c r="D83" i="3"/>
  <c r="D143" i="3"/>
  <c r="D144" i="3" s="1"/>
  <c r="H121" i="3"/>
  <c r="E83" i="3"/>
  <c r="E143" i="3"/>
  <c r="E144" i="3" s="1"/>
  <c r="D122" i="3"/>
  <c r="L10" i="3"/>
  <c r="J10" i="3" s="1"/>
  <c r="BC9" i="3"/>
  <c r="BD9" i="3" s="1"/>
  <c r="CE9" i="3"/>
  <c r="CF9" i="3" s="1"/>
  <c r="AA9" i="3"/>
  <c r="AB9" i="3" s="1"/>
  <c r="BP10" i="3"/>
  <c r="BN10" i="3" s="1"/>
  <c r="AN10" i="3" l="1"/>
  <c r="AL10" i="3" s="1"/>
  <c r="AO10" i="3" s="1"/>
  <c r="AP10" i="3" s="1"/>
  <c r="H122" i="3"/>
  <c r="K120" i="3" s="1"/>
  <c r="E68" i="4" s="1"/>
  <c r="F83" i="3"/>
  <c r="F143" i="3"/>
  <c r="F144" i="3" s="1"/>
  <c r="J144" i="3" s="1"/>
  <c r="G16" i="4"/>
  <c r="G19" i="4"/>
  <c r="G18" i="4"/>
  <c r="G13" i="4"/>
  <c r="G12" i="4"/>
  <c r="G8" i="4"/>
  <c r="G9" i="4"/>
  <c r="G10" i="4"/>
  <c r="G14" i="4"/>
  <c r="G11" i="4"/>
  <c r="G15" i="4"/>
  <c r="G17" i="4"/>
  <c r="C52" i="5"/>
  <c r="D52" i="5" s="1"/>
  <c r="D53" i="5" s="1"/>
  <c r="Z10" i="3"/>
  <c r="X10" i="3" s="1"/>
  <c r="AA10" i="3" s="1"/>
  <c r="AB10" i="3" s="1"/>
  <c r="C8" i="4"/>
  <c r="CD10" i="3"/>
  <c r="CB10" i="3" s="1"/>
  <c r="CE10" i="3" s="1"/>
  <c r="CF10" i="3" s="1"/>
  <c r="BB10" i="3"/>
  <c r="AZ10" i="3" s="1"/>
  <c r="AN11" i="3"/>
  <c r="AL11" i="3" s="1"/>
  <c r="BQ10" i="3"/>
  <c r="BR10" i="3" s="1"/>
  <c r="G68" i="4" l="1"/>
  <c r="B31" i="2" s="1"/>
  <c r="F68" i="4"/>
  <c r="I91" i="3"/>
  <c r="D9" i="4" s="1"/>
  <c r="I93" i="3"/>
  <c r="D11" i="4" s="1"/>
  <c r="I92" i="3"/>
  <c r="D10" i="4" s="1"/>
  <c r="I98" i="3"/>
  <c r="D16" i="4" s="1"/>
  <c r="I95" i="3"/>
  <c r="D13" i="4" s="1"/>
  <c r="I100" i="3"/>
  <c r="D18" i="4" s="1"/>
  <c r="I96" i="3"/>
  <c r="D14" i="4" s="1"/>
  <c r="I97" i="3"/>
  <c r="D15" i="4" s="1"/>
  <c r="I94" i="3"/>
  <c r="D12" i="4" s="1"/>
  <c r="I90" i="3"/>
  <c r="D8" i="4" s="1"/>
  <c r="I101" i="3"/>
  <c r="D19" i="4" s="1"/>
  <c r="I99" i="3"/>
  <c r="D17" i="4" s="1"/>
  <c r="E52" i="5"/>
  <c r="F52" i="5" s="1"/>
  <c r="F53" i="5" s="1"/>
  <c r="B27" i="2"/>
  <c r="D55" i="5"/>
  <c r="D54" i="5"/>
  <c r="C76" i="4"/>
  <c r="J83" i="3"/>
  <c r="B30" i="2"/>
  <c r="BP11" i="3"/>
  <c r="BN11" i="3" s="1"/>
  <c r="BQ11" i="3" s="1"/>
  <c r="BR11" i="3" s="1"/>
  <c r="M10" i="3"/>
  <c r="Z11" i="3"/>
  <c r="X11" i="3" s="1"/>
  <c r="BC10" i="3"/>
  <c r="BD10" i="3" s="1"/>
  <c r="CD11" i="3"/>
  <c r="CB11" i="3" s="1"/>
  <c r="AO11" i="3"/>
  <c r="AP11" i="3" s="1"/>
  <c r="B29" i="2"/>
  <c r="D68" i="4" l="1"/>
  <c r="N10" i="3"/>
  <c r="S52" i="5"/>
  <c r="G52" i="5"/>
  <c r="H52" i="5" s="1"/>
  <c r="C78" i="4" s="1"/>
  <c r="I114" i="3"/>
  <c r="C77" i="4"/>
  <c r="F54" i="5"/>
  <c r="F55" i="5"/>
  <c r="B19" i="2"/>
  <c r="Y52" i="5"/>
  <c r="Z52" i="5" s="1"/>
  <c r="Z53" i="5" s="1"/>
  <c r="BB11" i="3"/>
  <c r="AZ11" i="3" s="1"/>
  <c r="BC11" i="3" s="1"/>
  <c r="BD11" i="3" s="1"/>
  <c r="BP12" i="3"/>
  <c r="BN12" i="3" s="1"/>
  <c r="BQ12" i="3" s="1"/>
  <c r="BR12" i="3" s="1"/>
  <c r="AN12" i="3"/>
  <c r="AL12" i="3" s="1"/>
  <c r="AO12" i="3" s="1"/>
  <c r="AP12" i="3" s="1"/>
  <c r="CE11" i="3"/>
  <c r="CF11" i="3" s="1"/>
  <c r="AA11" i="3"/>
  <c r="AB11" i="3" s="1"/>
  <c r="L11" i="3"/>
  <c r="J11" i="3" s="1"/>
  <c r="C9" i="4" l="1"/>
  <c r="B25" i="2"/>
  <c r="B26" i="2"/>
  <c r="H53" i="5"/>
  <c r="H55" i="5" s="1"/>
  <c r="B28" i="2"/>
  <c r="Z54" i="5"/>
  <c r="C79" i="4"/>
  <c r="B33" i="2"/>
  <c r="Z55" i="5"/>
  <c r="BP13" i="3"/>
  <c r="BN13" i="3" s="1"/>
  <c r="BQ13" i="3" s="1"/>
  <c r="BR13" i="3" s="1"/>
  <c r="BB12" i="3"/>
  <c r="AZ12" i="3" s="1"/>
  <c r="BC12" i="3" s="1"/>
  <c r="BD12" i="3" s="1"/>
  <c r="AN13" i="3"/>
  <c r="AL13" i="3" s="1"/>
  <c r="CD12" i="3"/>
  <c r="CB12" i="3" s="1"/>
  <c r="Z12" i="3"/>
  <c r="X12" i="3" s="1"/>
  <c r="H54" i="5" l="1"/>
  <c r="M52" i="5"/>
  <c r="L52" i="5"/>
  <c r="L54" i="5" s="1"/>
  <c r="L55" i="5" s="1"/>
  <c r="AA52" i="5"/>
  <c r="I52" i="5"/>
  <c r="BB13" i="3"/>
  <c r="AZ13" i="3" s="1"/>
  <c r="BC13" i="3" s="1"/>
  <c r="BD13" i="3" s="1"/>
  <c r="AO13" i="3"/>
  <c r="AP13" i="3" s="1"/>
  <c r="M11" i="3"/>
  <c r="CE12" i="3"/>
  <c r="CF12" i="3" s="1"/>
  <c r="BP14" i="3"/>
  <c r="BN14" i="3" s="1"/>
  <c r="AA12" i="3"/>
  <c r="AB12" i="3" s="1"/>
  <c r="N11" i="3" l="1"/>
  <c r="AA54" i="5"/>
  <c r="AA55" i="5" s="1"/>
  <c r="AA53" i="5"/>
  <c r="B44" i="2"/>
  <c r="B42" i="2"/>
  <c r="B64" i="2"/>
  <c r="B66" i="2" s="1"/>
  <c r="B43" i="2"/>
  <c r="C10" i="4"/>
  <c r="AN14" i="3"/>
  <c r="AL14" i="3" s="1"/>
  <c r="AO14" i="3" s="1"/>
  <c r="AP14" i="3" s="1"/>
  <c r="CD13" i="3"/>
  <c r="CB13" i="3" s="1"/>
  <c r="CE13" i="3" s="1"/>
  <c r="CF13" i="3" s="1"/>
  <c r="L12" i="3"/>
  <c r="J12" i="3" s="1"/>
  <c r="BQ14" i="3"/>
  <c r="BR14" i="3" s="1"/>
  <c r="BB14" i="3"/>
  <c r="AZ14" i="3" s="1"/>
  <c r="Z13" i="3"/>
  <c r="X13" i="3" s="1"/>
  <c r="AE51" i="5" l="1"/>
  <c r="E80" i="5" s="1"/>
  <c r="BP15" i="3"/>
  <c r="BN15" i="3" s="1"/>
  <c r="BQ15" i="3" s="1"/>
  <c r="BR15" i="3" s="1"/>
  <c r="AN15" i="3"/>
  <c r="AL15" i="3" s="1"/>
  <c r="AO15" i="3" s="1"/>
  <c r="AP15" i="3" s="1"/>
  <c r="AA13" i="3"/>
  <c r="AB13" i="3" s="1"/>
  <c r="CD14" i="3"/>
  <c r="CB14" i="3" s="1"/>
  <c r="M12" i="3"/>
  <c r="BC14" i="3"/>
  <c r="BD14" i="3" s="1"/>
  <c r="N12" i="3" l="1"/>
  <c r="B32" i="2"/>
  <c r="B34" i="2" s="1"/>
  <c r="L13" i="3"/>
  <c r="J13" i="3" s="1"/>
  <c r="Z14" i="3"/>
  <c r="X14" i="3" s="1"/>
  <c r="AA14" i="3" s="1"/>
  <c r="AB14" i="3" s="1"/>
  <c r="AN16" i="3"/>
  <c r="AL16" i="3" s="1"/>
  <c r="CE14" i="3"/>
  <c r="CF14" i="3" s="1"/>
  <c r="BB15" i="3"/>
  <c r="AZ15" i="3" s="1"/>
  <c r="BP16" i="3"/>
  <c r="BN16" i="3" s="1"/>
  <c r="C11" i="4" l="1"/>
  <c r="CD15" i="3"/>
  <c r="CB15" i="3" s="1"/>
  <c r="CE15" i="3" s="1"/>
  <c r="CF15" i="3" s="1"/>
  <c r="BQ16" i="3"/>
  <c r="BR16" i="3" s="1"/>
  <c r="AO16" i="3"/>
  <c r="AP16" i="3" s="1"/>
  <c r="BC15" i="3"/>
  <c r="BD15" i="3" s="1"/>
  <c r="Z15" i="3"/>
  <c r="X15" i="3" s="1"/>
  <c r="M13" i="3"/>
  <c r="N13" i="3" l="1"/>
  <c r="C12" i="4" s="1"/>
  <c r="BB16" i="3"/>
  <c r="AZ16" i="3" s="1"/>
  <c r="BC16" i="3" s="1"/>
  <c r="BD16" i="3" s="1"/>
  <c r="L14" i="3"/>
  <c r="J14" i="3" s="1"/>
  <c r="CD16" i="3"/>
  <c r="CB16" i="3" s="1"/>
  <c r="AN17" i="3"/>
  <c r="AL17" i="3" s="1"/>
  <c r="AA15" i="3"/>
  <c r="AB15" i="3" s="1"/>
  <c r="BP17" i="3"/>
  <c r="BN17" i="3" s="1"/>
  <c r="Z16" i="3" l="1"/>
  <c r="X16" i="3" s="1"/>
  <c r="AA16" i="3" s="1"/>
  <c r="AB16" i="3" s="1"/>
  <c r="BB17" i="3"/>
  <c r="AZ17" i="3" s="1"/>
  <c r="BC17" i="3" s="1"/>
  <c r="BD17" i="3" s="1"/>
  <c r="M14" i="3"/>
  <c r="AO17" i="3"/>
  <c r="AP17" i="3" s="1"/>
  <c r="CE16" i="3"/>
  <c r="CF16" i="3" s="1"/>
  <c r="BQ17" i="3"/>
  <c r="BR17" i="3" s="1"/>
  <c r="N14" i="3" l="1"/>
  <c r="C13" i="4" s="1"/>
  <c r="Z17" i="3"/>
  <c r="X17" i="3" s="1"/>
  <c r="AA17" i="3" s="1"/>
  <c r="AB17" i="3" s="1"/>
  <c r="BB18" i="3"/>
  <c r="AZ18" i="3" s="1"/>
  <c r="BC18" i="3" s="1"/>
  <c r="BD18" i="3" s="1"/>
  <c r="BP18" i="3"/>
  <c r="BN18" i="3" s="1"/>
  <c r="BQ18" i="3" s="1"/>
  <c r="BR18" i="3" s="1"/>
  <c r="L15" i="3"/>
  <c r="J15" i="3" s="1"/>
  <c r="AN18" i="3"/>
  <c r="AL18" i="3" s="1"/>
  <c r="CD17" i="3"/>
  <c r="CB17" i="3" s="1"/>
  <c r="M15" i="3" l="1"/>
  <c r="N15" i="3" s="1"/>
  <c r="Z18" i="3"/>
  <c r="X18" i="3" s="1"/>
  <c r="BB19" i="3"/>
  <c r="AZ19" i="3" s="1"/>
  <c r="CE17" i="3"/>
  <c r="CF17" i="3" s="1"/>
  <c r="BP19" i="3"/>
  <c r="BN19" i="3" s="1"/>
  <c r="AO18" i="3"/>
  <c r="AP18" i="3" s="1"/>
  <c r="C14" i="4" l="1"/>
  <c r="L16" i="3"/>
  <c r="J16" i="3" s="1"/>
  <c r="AN19" i="3"/>
  <c r="AL19" i="3" s="1"/>
  <c r="AO19" i="3" s="1"/>
  <c r="AP19" i="3" s="1"/>
  <c r="CD18" i="3"/>
  <c r="CB18" i="3" s="1"/>
  <c r="BC19" i="3"/>
  <c r="BD19" i="3" s="1"/>
  <c r="BQ19" i="3"/>
  <c r="BR19" i="3" s="1"/>
  <c r="AA18" i="3"/>
  <c r="AB18" i="3" s="1"/>
  <c r="BB20" i="3" l="1"/>
  <c r="AZ20" i="3" s="1"/>
  <c r="Z19" i="3"/>
  <c r="X19" i="3" s="1"/>
  <c r="AN20" i="3"/>
  <c r="AL20" i="3" s="1"/>
  <c r="BP20" i="3"/>
  <c r="BN20" i="3" s="1"/>
  <c r="CE18" i="3"/>
  <c r="CF18" i="3" s="1"/>
  <c r="M16" i="3" l="1"/>
  <c r="N16" i="3" s="1"/>
  <c r="C15" i="4" s="1"/>
  <c r="BC20" i="3"/>
  <c r="BB21" i="3" s="1"/>
  <c r="AZ21" i="3" s="1"/>
  <c r="CD19" i="3"/>
  <c r="CB19" i="3" s="1"/>
  <c r="CE19" i="3" s="1"/>
  <c r="CF19" i="3" s="1"/>
  <c r="AO20" i="3"/>
  <c r="AA19" i="3"/>
  <c r="AB19" i="3" s="1"/>
  <c r="BQ20" i="3"/>
  <c r="L17" i="3" l="1"/>
  <c r="BD20" i="3"/>
  <c r="BD69" i="3" s="1"/>
  <c r="BR20" i="3"/>
  <c r="BR69" i="3" s="1"/>
  <c r="BC21" i="3"/>
  <c r="BD21" i="3" s="1"/>
  <c r="BP21" i="3"/>
  <c r="BN21" i="3" s="1"/>
  <c r="AP20" i="3"/>
  <c r="AP69" i="3" s="1"/>
  <c r="AN21" i="3"/>
  <c r="AL21" i="3" s="1"/>
  <c r="CD20" i="3"/>
  <c r="CB20" i="3" s="1"/>
  <c r="Z20" i="3"/>
  <c r="X20" i="3" s="1"/>
  <c r="J17" i="3" l="1"/>
  <c r="BB22" i="3"/>
  <c r="AZ22" i="3" s="1"/>
  <c r="BC22" i="3" s="1"/>
  <c r="BD22" i="3" s="1"/>
  <c r="AO21" i="3"/>
  <c r="AP21" i="3" s="1"/>
  <c r="CE20" i="3"/>
  <c r="CD21" i="3" s="1"/>
  <c r="CB21" i="3" s="1"/>
  <c r="BQ21" i="3"/>
  <c r="BR21" i="3" s="1"/>
  <c r="AA20" i="3"/>
  <c r="M17" i="3" l="1"/>
  <c r="N17" i="3" s="1"/>
  <c r="C16" i="4" s="1"/>
  <c r="AN22" i="3"/>
  <c r="AL22" i="3" s="1"/>
  <c r="AB20" i="3"/>
  <c r="AB69" i="3" s="1"/>
  <c r="Z21" i="3"/>
  <c r="X21" i="3" s="1"/>
  <c r="BB23" i="3"/>
  <c r="AZ23" i="3" s="1"/>
  <c r="CE21" i="3"/>
  <c r="CF21" i="3" s="1"/>
  <c r="BP22" i="3"/>
  <c r="BN22" i="3" s="1"/>
  <c r="CF20" i="3"/>
  <c r="CF69" i="3" s="1"/>
  <c r="L18" i="3" l="1"/>
  <c r="J18" i="3" s="1"/>
  <c r="BC23" i="3"/>
  <c r="BD23" i="3" s="1"/>
  <c r="AA21" i="3"/>
  <c r="AB21" i="3" s="1"/>
  <c r="BQ22" i="3"/>
  <c r="BR22" i="3" s="1"/>
  <c r="AO22" i="3"/>
  <c r="AP22" i="3" s="1"/>
  <c r="CD22" i="3"/>
  <c r="CB22" i="3" s="1"/>
  <c r="M18" i="3" l="1"/>
  <c r="N18" i="3" s="1"/>
  <c r="C17" i="4" s="1"/>
  <c r="AN23" i="3"/>
  <c r="AL23" i="3" s="1"/>
  <c r="AO23" i="3" s="1"/>
  <c r="AP23" i="3" s="1"/>
  <c r="Z22" i="3"/>
  <c r="X22" i="3" s="1"/>
  <c r="AA22" i="3" s="1"/>
  <c r="AB22" i="3" s="1"/>
  <c r="CE22" i="3"/>
  <c r="CF22" i="3" s="1"/>
  <c r="BP23" i="3"/>
  <c r="BN23" i="3" s="1"/>
  <c r="BQ23" i="3" s="1"/>
  <c r="BR23" i="3" s="1"/>
  <c r="BB24" i="3"/>
  <c r="AZ24" i="3" s="1"/>
  <c r="L19" i="3" l="1"/>
  <c r="J19" i="3" s="1"/>
  <c r="M19" i="3" s="1"/>
  <c r="N19" i="3" s="1"/>
  <c r="C18" i="4" s="1"/>
  <c r="CD23" i="3"/>
  <c r="CB23" i="3" s="1"/>
  <c r="CE23" i="3" s="1"/>
  <c r="CF23" i="3" s="1"/>
  <c r="AN24" i="3"/>
  <c r="AL24" i="3" s="1"/>
  <c r="BP24" i="3"/>
  <c r="BC24" i="3"/>
  <c r="BD24" i="3" s="1"/>
  <c r="BN24" i="3"/>
  <c r="Z23" i="3"/>
  <c r="X23" i="3" s="1"/>
  <c r="L20" i="3" l="1"/>
  <c r="J20" i="3" s="1"/>
  <c r="M20" i="3" s="1"/>
  <c r="N20" i="3" s="1"/>
  <c r="AO24" i="3"/>
  <c r="AP24" i="3" s="1"/>
  <c r="BB25" i="3"/>
  <c r="AZ25" i="3" s="1"/>
  <c r="BQ24" i="3"/>
  <c r="BR24" i="3" s="1"/>
  <c r="CD24" i="3"/>
  <c r="CB24" i="3" s="1"/>
  <c r="AA23" i="3"/>
  <c r="AB23" i="3" s="1"/>
  <c r="AN25" i="3" l="1"/>
  <c r="AL25" i="3" s="1"/>
  <c r="AO25" i="3" s="1"/>
  <c r="AP25" i="3" s="1"/>
  <c r="L21" i="3"/>
  <c r="J21" i="3" s="1"/>
  <c r="M21" i="3" s="1"/>
  <c r="N21" i="3" s="1"/>
  <c r="C20" i="4" s="1"/>
  <c r="BC25" i="3"/>
  <c r="BD25" i="3" s="1"/>
  <c r="BP25" i="3"/>
  <c r="BN25" i="3" s="1"/>
  <c r="B18" i="2"/>
  <c r="B20" i="2" s="1"/>
  <c r="B35" i="2" s="1"/>
  <c r="C19" i="4"/>
  <c r="Z24" i="3"/>
  <c r="X24" i="3" s="1"/>
  <c r="CE24" i="3"/>
  <c r="CF24" i="3" s="1"/>
  <c r="BB26" i="3" l="1"/>
  <c r="AZ26" i="3" s="1"/>
  <c r="BC26" i="3" s="1"/>
  <c r="BD26" i="3" s="1"/>
  <c r="AN26" i="3"/>
  <c r="AL26" i="3" s="1"/>
  <c r="AO26" i="3" s="1"/>
  <c r="AP26" i="3" s="1"/>
  <c r="L22" i="3"/>
  <c r="J22" i="3" s="1"/>
  <c r="CD25" i="3"/>
  <c r="CB25" i="3" s="1"/>
  <c r="BQ25" i="3"/>
  <c r="BR25" i="3" s="1"/>
  <c r="AA24" i="3"/>
  <c r="AB24" i="3" s="1"/>
  <c r="AN27" i="3" l="1"/>
  <c r="AL27" i="3" s="1"/>
  <c r="BP26" i="3"/>
  <c r="BN26" i="3" s="1"/>
  <c r="BQ26" i="3" s="1"/>
  <c r="BR26" i="3" s="1"/>
  <c r="Z25" i="3"/>
  <c r="X25" i="3" s="1"/>
  <c r="AA25" i="3" s="1"/>
  <c r="AB25" i="3" s="1"/>
  <c r="M22" i="3"/>
  <c r="L23" i="3" s="1"/>
  <c r="J23" i="3" s="1"/>
  <c r="BB27" i="3"/>
  <c r="AZ27" i="3" s="1"/>
  <c r="CE25" i="3"/>
  <c r="CF25" i="3" s="1"/>
  <c r="AO27" i="3" l="1"/>
  <c r="AP27" i="3" s="1"/>
  <c r="Z26" i="3"/>
  <c r="X26" i="3" s="1"/>
  <c r="AA26" i="3" s="1"/>
  <c r="AB26" i="3" s="1"/>
  <c r="N22" i="3"/>
  <c r="C21" i="4" s="1"/>
  <c r="BP27" i="3"/>
  <c r="BN27" i="3" s="1"/>
  <c r="CD26" i="3"/>
  <c r="CB26" i="3" s="1"/>
  <c r="BC27" i="3"/>
  <c r="BD27" i="3" s="1"/>
  <c r="M23" i="3"/>
  <c r="AN28" i="3" l="1"/>
  <c r="AL28" i="3" s="1"/>
  <c r="Z27" i="3"/>
  <c r="X27" i="3" s="1"/>
  <c r="AA27" i="3" s="1"/>
  <c r="AB27" i="3" s="1"/>
  <c r="L24" i="3"/>
  <c r="J24" i="3" s="1"/>
  <c r="CE26" i="3"/>
  <c r="CF26" i="3" s="1"/>
  <c r="BB28" i="3"/>
  <c r="AZ28" i="3" s="1"/>
  <c r="BQ27" i="3"/>
  <c r="BR27" i="3" s="1"/>
  <c r="N23" i="3"/>
  <c r="C22" i="4" s="1"/>
  <c r="AO28" i="3" l="1"/>
  <c r="AP28" i="3" s="1"/>
  <c r="Z28" i="3"/>
  <c r="X28" i="3" s="1"/>
  <c r="AA28" i="3" s="1"/>
  <c r="AB28" i="3" s="1"/>
  <c r="M24" i="3"/>
  <c r="N24" i="3" s="1"/>
  <c r="BP28" i="3"/>
  <c r="BN28" i="3" s="1"/>
  <c r="BQ28" i="3" s="1"/>
  <c r="BC28" i="3"/>
  <c r="BD28" i="3" s="1"/>
  <c r="CD27" i="3"/>
  <c r="CB27" i="3" s="1"/>
  <c r="Z29" i="3" l="1"/>
  <c r="X29" i="3" s="1"/>
  <c r="AA29" i="3" s="1"/>
  <c r="AB29" i="3" s="1"/>
  <c r="AN29" i="3"/>
  <c r="AL29" i="3" s="1"/>
  <c r="L25" i="3"/>
  <c r="J25" i="3" s="1"/>
  <c r="BR28" i="3"/>
  <c r="BP29" i="3"/>
  <c r="BN29" i="3" s="1"/>
  <c r="BQ29" i="3" s="1"/>
  <c r="BR29" i="3" s="1"/>
  <c r="M25" i="3"/>
  <c r="N25" i="3" s="1"/>
  <c r="C24" i="4" s="1"/>
  <c r="BB29" i="3"/>
  <c r="AZ29" i="3" s="1"/>
  <c r="CE27" i="3"/>
  <c r="CF27" i="3" s="1"/>
  <c r="C23" i="4"/>
  <c r="AO29" i="3" l="1"/>
  <c r="AP29" i="3" s="1"/>
  <c r="L26" i="3"/>
  <c r="J26" i="3" s="1"/>
  <c r="M26" i="3" s="1"/>
  <c r="N26" i="3" s="1"/>
  <c r="C25" i="4" s="1"/>
  <c r="Z30" i="3"/>
  <c r="X30" i="3" s="1"/>
  <c r="AA30" i="3" s="1"/>
  <c r="AB30" i="3" s="1"/>
  <c r="CD28" i="3"/>
  <c r="CB28" i="3" s="1"/>
  <c r="CE28" i="3" s="1"/>
  <c r="CF28" i="3" s="1"/>
  <c r="BP30" i="3"/>
  <c r="BN30" i="3" s="1"/>
  <c r="BQ30" i="3" s="1"/>
  <c r="BC29" i="3"/>
  <c r="BD29" i="3" s="1"/>
  <c r="AN30" i="3" l="1"/>
  <c r="AL30" i="3" s="1"/>
  <c r="AO30" i="3"/>
  <c r="AP30" i="3" s="1"/>
  <c r="Z31" i="3"/>
  <c r="X31" i="3" s="1"/>
  <c r="BR30" i="3"/>
  <c r="BP31" i="3"/>
  <c r="BN31" i="3" s="1"/>
  <c r="BQ31" i="3" s="1"/>
  <c r="L27" i="3"/>
  <c r="J27" i="3" s="1"/>
  <c r="M27" i="3" s="1"/>
  <c r="AA31" i="3"/>
  <c r="AB31" i="3" s="1"/>
  <c r="BB30" i="3"/>
  <c r="AZ30" i="3" s="1"/>
  <c r="CD29" i="3"/>
  <c r="CB29" i="3" s="1"/>
  <c r="AN31" i="3" l="1"/>
  <c r="AL31" i="3" s="1"/>
  <c r="AO31" i="3"/>
  <c r="AP31" i="3" s="1"/>
  <c r="BR31" i="3"/>
  <c r="BP32" i="3"/>
  <c r="BN32" i="3" s="1"/>
  <c r="BQ32" i="3" s="1"/>
  <c r="BR32" i="3" s="1"/>
  <c r="N27" i="3"/>
  <c r="C26" i="4" s="1"/>
  <c r="L28" i="3"/>
  <c r="J28" i="3" s="1"/>
  <c r="BC30" i="3"/>
  <c r="BD30" i="3" s="1"/>
  <c r="CE29" i="3"/>
  <c r="CF29" i="3" s="1"/>
  <c r="Z32" i="3"/>
  <c r="X32" i="3" s="1"/>
  <c r="AN32" i="3" l="1"/>
  <c r="AL32" i="3" s="1"/>
  <c r="AO32" i="3" s="1"/>
  <c r="AP32" i="3" s="1"/>
  <c r="BB31" i="3"/>
  <c r="AZ31" i="3" s="1"/>
  <c r="M28" i="3"/>
  <c r="N28" i="3" s="1"/>
  <c r="C27" i="4" s="1"/>
  <c r="BP33" i="3"/>
  <c r="BN33" i="3" s="1"/>
  <c r="BQ33" i="3" s="1"/>
  <c r="BR33" i="3" s="1"/>
  <c r="CD30" i="3"/>
  <c r="CB30" i="3" s="1"/>
  <c r="BC31" i="3"/>
  <c r="BD31" i="3" s="1"/>
  <c r="AA32" i="3"/>
  <c r="AB32" i="3" s="1"/>
  <c r="AN33" i="3" l="1"/>
  <c r="AL33" i="3" s="1"/>
  <c r="L29" i="3"/>
  <c r="J29" i="3" s="1"/>
  <c r="BP34" i="3"/>
  <c r="BN34" i="3" s="1"/>
  <c r="Z33" i="3"/>
  <c r="X33" i="3" s="1"/>
  <c r="AA33" i="3" s="1"/>
  <c r="AB33" i="3" s="1"/>
  <c r="BB32" i="3"/>
  <c r="AZ32" i="3" s="1"/>
  <c r="CE30" i="3"/>
  <c r="CF30" i="3" s="1"/>
  <c r="BQ34" i="3"/>
  <c r="BR34" i="3" s="1"/>
  <c r="AO33" i="3" l="1"/>
  <c r="AP33" i="3" s="1"/>
  <c r="M29" i="3"/>
  <c r="N29" i="3" s="1"/>
  <c r="C28" i="4" s="1"/>
  <c r="Z34" i="3"/>
  <c r="X34" i="3" s="1"/>
  <c r="AA34" i="3" s="1"/>
  <c r="AB34" i="3" s="1"/>
  <c r="BP35" i="3"/>
  <c r="BN35" i="3" s="1"/>
  <c r="CD31" i="3"/>
  <c r="CB31" i="3" s="1"/>
  <c r="BC32" i="3"/>
  <c r="BD32" i="3" s="1"/>
  <c r="AN34" i="3" l="1"/>
  <c r="AL34" i="3" s="1"/>
  <c r="AO34" i="3" s="1"/>
  <c r="AP34" i="3" s="1"/>
  <c r="L30" i="3"/>
  <c r="J30" i="3" s="1"/>
  <c r="Z35" i="3"/>
  <c r="X35" i="3" s="1"/>
  <c r="AA35" i="3" s="1"/>
  <c r="AB35" i="3" s="1"/>
  <c r="BB33" i="3"/>
  <c r="AZ33" i="3" s="1"/>
  <c r="CE31" i="3"/>
  <c r="CF31" i="3" s="1"/>
  <c r="BQ35" i="3"/>
  <c r="BR35" i="3" s="1"/>
  <c r="AN35" i="3" l="1"/>
  <c r="AL35" i="3" s="1"/>
  <c r="AO35" i="3" s="1"/>
  <c r="AP35" i="3" s="1"/>
  <c r="Z36" i="3"/>
  <c r="X36" i="3" s="1"/>
  <c r="M30" i="3"/>
  <c r="N30" i="3" s="1"/>
  <c r="C29" i="4" s="1"/>
  <c r="BP36" i="3"/>
  <c r="BN36" i="3" s="1"/>
  <c r="BQ36" i="3" s="1"/>
  <c r="BR36" i="3" s="1"/>
  <c r="CD32" i="3"/>
  <c r="CB32" i="3" s="1"/>
  <c r="AA36" i="3"/>
  <c r="AB36" i="3" s="1"/>
  <c r="BC33" i="3"/>
  <c r="BD33" i="3" s="1"/>
  <c r="AN36" i="3" l="1"/>
  <c r="AL36" i="3" s="1"/>
  <c r="AO36" i="3" s="1"/>
  <c r="AP36" i="3" s="1"/>
  <c r="L31" i="3"/>
  <c r="J31" i="3" s="1"/>
  <c r="BP37" i="3"/>
  <c r="BN37" i="3" s="1"/>
  <c r="Z37" i="3"/>
  <c r="X37" i="3" s="1"/>
  <c r="AA37" i="3" s="1"/>
  <c r="AB37" i="3" s="1"/>
  <c r="BB34" i="3"/>
  <c r="AZ34" i="3" s="1"/>
  <c r="BC34" i="3" s="1"/>
  <c r="BD34" i="3" s="1"/>
  <c r="CE32" i="3"/>
  <c r="CF32" i="3" s="1"/>
  <c r="BQ37" i="3"/>
  <c r="BR37" i="3" s="1"/>
  <c r="AN37" i="3" l="1"/>
  <c r="AL37" i="3" s="1"/>
  <c r="AO37" i="3" s="1"/>
  <c r="AP37" i="3" s="1"/>
  <c r="BP38" i="3"/>
  <c r="BN38" i="3" s="1"/>
  <c r="BB35" i="3"/>
  <c r="AZ35" i="3" s="1"/>
  <c r="BC35" i="3" s="1"/>
  <c r="BD35" i="3" s="1"/>
  <c r="Z38" i="3"/>
  <c r="X38" i="3" s="1"/>
  <c r="AA38" i="3" s="1"/>
  <c r="AB38" i="3" s="1"/>
  <c r="M31" i="3"/>
  <c r="N31" i="3" s="1"/>
  <c r="C30" i="4" s="1"/>
  <c r="BQ38" i="3"/>
  <c r="BR38" i="3" s="1"/>
  <c r="CD33" i="3"/>
  <c r="CB33" i="3" s="1"/>
  <c r="AN38" i="3" l="1"/>
  <c r="AL38" i="3" s="1"/>
  <c r="AO38" i="3" s="1"/>
  <c r="AP38" i="3" s="1"/>
  <c r="Z39" i="3"/>
  <c r="X39" i="3" s="1"/>
  <c r="L32" i="3"/>
  <c r="J32" i="3" s="1"/>
  <c r="BP39" i="3"/>
  <c r="BN39" i="3" s="1"/>
  <c r="BQ39" i="3" s="1"/>
  <c r="BR39" i="3" s="1"/>
  <c r="BB36" i="3"/>
  <c r="AZ36" i="3" s="1"/>
  <c r="BC36" i="3" s="1"/>
  <c r="BD36" i="3" s="1"/>
  <c r="AA39" i="3"/>
  <c r="AB39" i="3" s="1"/>
  <c r="CE33" i="3"/>
  <c r="CF33" i="3" s="1"/>
  <c r="AN39" i="3" l="1"/>
  <c r="AL39" i="3" s="1"/>
  <c r="AO39" i="3" s="1"/>
  <c r="AP39" i="3" s="1"/>
  <c r="M32" i="3"/>
  <c r="N32" i="3" s="1"/>
  <c r="C31" i="4" s="1"/>
  <c r="L33" i="3"/>
  <c r="J33" i="3" s="1"/>
  <c r="BP40" i="3"/>
  <c r="BN40" i="3" s="1"/>
  <c r="BQ40" i="3" s="1"/>
  <c r="BR40" i="3" s="1"/>
  <c r="Z40" i="3"/>
  <c r="X40" i="3" s="1"/>
  <c r="AA40" i="3" s="1"/>
  <c r="AB40" i="3" s="1"/>
  <c r="CD34" i="3"/>
  <c r="CB34" i="3" s="1"/>
  <c r="BB37" i="3"/>
  <c r="AZ37" i="3" s="1"/>
  <c r="AN40" i="3" l="1"/>
  <c r="AL40" i="3" s="1"/>
  <c r="AO40" i="3" s="1"/>
  <c r="AP40" i="3" s="1"/>
  <c r="Z41" i="3"/>
  <c r="X41" i="3" s="1"/>
  <c r="M33" i="3"/>
  <c r="N33" i="3" s="1"/>
  <c r="C32" i="4" s="1"/>
  <c r="BP41" i="3"/>
  <c r="BN41" i="3" s="1"/>
  <c r="BQ41" i="3" s="1"/>
  <c r="BR41" i="3" s="1"/>
  <c r="AA41" i="3"/>
  <c r="AB41" i="3" s="1"/>
  <c r="BC37" i="3"/>
  <c r="BD37" i="3" s="1"/>
  <c r="CE34" i="3"/>
  <c r="CF34" i="3" s="1"/>
  <c r="AN41" i="3" l="1"/>
  <c r="AL41" i="3" s="1"/>
  <c r="L34" i="3"/>
  <c r="J34" i="3" s="1"/>
  <c r="M34" i="3" s="1"/>
  <c r="N34" i="3" s="1"/>
  <c r="C33" i="4" s="1"/>
  <c r="BB38" i="3"/>
  <c r="AZ38" i="3" s="1"/>
  <c r="BC38" i="3" s="1"/>
  <c r="BD38" i="3" s="1"/>
  <c r="Z42" i="3"/>
  <c r="X42" i="3" s="1"/>
  <c r="CD35" i="3"/>
  <c r="CB35" i="3" s="1"/>
  <c r="BP42" i="3"/>
  <c r="BN42" i="3" s="1"/>
  <c r="L35" i="3" l="1"/>
  <c r="J35" i="3" s="1"/>
  <c r="M35" i="3" s="1"/>
  <c r="N35" i="3" s="1"/>
  <c r="AO41" i="3"/>
  <c r="AP41" i="3" s="1"/>
  <c r="AA42" i="3"/>
  <c r="AB42" i="3" s="1"/>
  <c r="CE35" i="3"/>
  <c r="CF35" i="3" s="1"/>
  <c r="BQ42" i="3"/>
  <c r="BR42" i="3" s="1"/>
  <c r="BB39" i="3"/>
  <c r="AZ39" i="3" s="1"/>
  <c r="AN42" i="3" l="1"/>
  <c r="AL42" i="3" s="1"/>
  <c r="C34" i="4"/>
  <c r="L36" i="3"/>
  <c r="J36" i="3" s="1"/>
  <c r="M36" i="3" s="1"/>
  <c r="N36" i="3" s="1"/>
  <c r="Z43" i="3"/>
  <c r="X43" i="3" s="1"/>
  <c r="BP43" i="3"/>
  <c r="BN43" i="3" s="1"/>
  <c r="BQ43" i="3" s="1"/>
  <c r="BR43" i="3" s="1"/>
  <c r="BC39" i="3"/>
  <c r="BD39" i="3" s="1"/>
  <c r="CD36" i="3"/>
  <c r="CB36" i="3" s="1"/>
  <c r="AO42" i="3" l="1"/>
  <c r="AP42" i="3" s="1"/>
  <c r="AA43" i="3"/>
  <c r="AB43" i="3" s="1"/>
  <c r="L37" i="3"/>
  <c r="J37" i="3" s="1"/>
  <c r="BB40" i="3"/>
  <c r="AZ40" i="3" s="1"/>
  <c r="BP44" i="3"/>
  <c r="BN44" i="3" s="1"/>
  <c r="CE36" i="3"/>
  <c r="CF36" i="3" s="1"/>
  <c r="C35" i="4" s="1"/>
  <c r="AN43" i="3" l="1"/>
  <c r="AL43" i="3" s="1"/>
  <c r="AO43" i="3" s="1"/>
  <c r="AP43" i="3" s="1"/>
  <c r="Z44" i="3"/>
  <c r="X44" i="3" s="1"/>
  <c r="AA44" i="3" s="1"/>
  <c r="AB44" i="3" s="1"/>
  <c r="M37" i="3"/>
  <c r="N37" i="3" s="1"/>
  <c r="CD37" i="3"/>
  <c r="CB37" i="3" s="1"/>
  <c r="CE37" i="3" s="1"/>
  <c r="CF37" i="3" s="1"/>
  <c r="BQ44" i="3"/>
  <c r="BR44" i="3" s="1"/>
  <c r="BC40" i="3"/>
  <c r="BD40" i="3" s="1"/>
  <c r="AN44" i="3" l="1"/>
  <c r="AL44" i="3" s="1"/>
  <c r="AO44" i="3" s="1"/>
  <c r="AP44" i="3" s="1"/>
  <c r="C36" i="4"/>
  <c r="L38" i="3"/>
  <c r="J38" i="3" s="1"/>
  <c r="M38" i="3"/>
  <c r="N38" i="3" s="1"/>
  <c r="Z45" i="3"/>
  <c r="X45" i="3" s="1"/>
  <c r="BB41" i="3"/>
  <c r="AZ41" i="3" s="1"/>
  <c r="BC41" i="3" s="1"/>
  <c r="CD38" i="3"/>
  <c r="CB38" i="3" s="1"/>
  <c r="BP45" i="3"/>
  <c r="BN45" i="3" s="1"/>
  <c r="AN45" i="3" l="1"/>
  <c r="AL45" i="3" s="1"/>
  <c r="AO45" i="3" s="1"/>
  <c r="AP45" i="3" s="1"/>
  <c r="L39" i="3"/>
  <c r="J39" i="3" s="1"/>
  <c r="M39" i="3" s="1"/>
  <c r="N39" i="3" s="1"/>
  <c r="BD41" i="3"/>
  <c r="BB42" i="3"/>
  <c r="AZ42" i="3" s="1"/>
  <c r="BC42" i="3" s="1"/>
  <c r="BD42" i="3" s="1"/>
  <c r="AA45" i="3"/>
  <c r="AB45" i="3" s="1"/>
  <c r="BQ45" i="3"/>
  <c r="BR45" i="3" s="1"/>
  <c r="CE38" i="3"/>
  <c r="CF38" i="3" s="1"/>
  <c r="C37" i="4" s="1"/>
  <c r="L40" i="3" l="1"/>
  <c r="J40" i="3" s="1"/>
  <c r="AN46" i="3"/>
  <c r="AL46" i="3" s="1"/>
  <c r="Z46" i="3"/>
  <c r="X46" i="3" s="1"/>
  <c r="AA46" i="3" s="1"/>
  <c r="AB46" i="3" s="1"/>
  <c r="Z47" i="3"/>
  <c r="X47" i="3" s="1"/>
  <c r="AA47" i="3" s="1"/>
  <c r="AB47" i="3" s="1"/>
  <c r="M40" i="3"/>
  <c r="N40" i="3" s="1"/>
  <c r="BB43" i="3"/>
  <c r="AZ43" i="3" s="1"/>
  <c r="BC43" i="3" s="1"/>
  <c r="BP46" i="3"/>
  <c r="BN46" i="3" s="1"/>
  <c r="CD39" i="3"/>
  <c r="CB39" i="3" s="1"/>
  <c r="Z48" i="3" l="1"/>
  <c r="X48" i="3" s="1"/>
  <c r="AA48" i="3" s="1"/>
  <c r="AB48" i="3" s="1"/>
  <c r="AO46" i="3"/>
  <c r="AP46" i="3" s="1"/>
  <c r="L41" i="3"/>
  <c r="J41" i="3" s="1"/>
  <c r="M41" i="3" s="1"/>
  <c r="BD43" i="3"/>
  <c r="BB44" i="3"/>
  <c r="AZ44" i="3" s="1"/>
  <c r="BC44" i="3" s="1"/>
  <c r="BD44" i="3" s="1"/>
  <c r="CE39" i="3"/>
  <c r="CF39" i="3" s="1"/>
  <c r="C38" i="4" s="1"/>
  <c r="BQ46" i="3"/>
  <c r="BR46" i="3" s="1"/>
  <c r="AN47" i="3" l="1"/>
  <c r="AL47" i="3" s="1"/>
  <c r="Z49" i="3"/>
  <c r="X49" i="3" s="1"/>
  <c r="AA49" i="3" s="1"/>
  <c r="AB49" i="3" s="1"/>
  <c r="N41" i="3"/>
  <c r="L42" i="3"/>
  <c r="J42" i="3" s="1"/>
  <c r="M42" i="3" s="1"/>
  <c r="N42" i="3" s="1"/>
  <c r="L43" i="3"/>
  <c r="J43" i="3" s="1"/>
  <c r="AO47" i="3"/>
  <c r="AP47" i="3" s="1"/>
  <c r="BP47" i="3"/>
  <c r="BN47" i="3" s="1"/>
  <c r="BQ47" i="3" s="1"/>
  <c r="BR47" i="3" s="1"/>
  <c r="M43" i="3"/>
  <c r="N43" i="3" s="1"/>
  <c r="CD40" i="3"/>
  <c r="CB40" i="3" s="1"/>
  <c r="BB45" i="3"/>
  <c r="AZ45" i="3" s="1"/>
  <c r="Z50" i="3" l="1"/>
  <c r="X50" i="3" s="1"/>
  <c r="AA50" i="3" s="1"/>
  <c r="AB50" i="3" s="1"/>
  <c r="AN48" i="3"/>
  <c r="AL48" i="3" s="1"/>
  <c r="AO48" i="3" s="1"/>
  <c r="AP48" i="3" s="1"/>
  <c r="L44" i="3"/>
  <c r="J44" i="3" s="1"/>
  <c r="BP48" i="3"/>
  <c r="BN48" i="3" s="1"/>
  <c r="BQ48" i="3" s="1"/>
  <c r="BR48" i="3" s="1"/>
  <c r="CE40" i="3"/>
  <c r="CF40" i="3" s="1"/>
  <c r="C39" i="4" s="1"/>
  <c r="BC45" i="3"/>
  <c r="BD45" i="3" s="1"/>
  <c r="Z51" i="3" l="1"/>
  <c r="X51" i="3" s="1"/>
  <c r="AA51" i="3" s="1"/>
  <c r="AB51" i="3" s="1"/>
  <c r="AN49" i="3"/>
  <c r="AL49" i="3" s="1"/>
  <c r="AO49" i="3" s="1"/>
  <c r="AP49" i="3" s="1"/>
  <c r="BP49" i="3"/>
  <c r="BN49" i="3" s="1"/>
  <c r="BQ49" i="3" s="1"/>
  <c r="BR49" i="3" s="1"/>
  <c r="BB46" i="3"/>
  <c r="AZ46" i="3" s="1"/>
  <c r="BC46" i="3" s="1"/>
  <c r="M44" i="3"/>
  <c r="N44" i="3" s="1"/>
  <c r="L45" i="3"/>
  <c r="CD41" i="3"/>
  <c r="CB41" i="3" s="1"/>
  <c r="Z52" i="3" l="1"/>
  <c r="X52" i="3" s="1"/>
  <c r="AA52" i="3" s="1"/>
  <c r="AB52" i="3" s="1"/>
  <c r="AN50" i="3"/>
  <c r="AL50" i="3" s="1"/>
  <c r="AO50" i="3"/>
  <c r="AP50" i="3" s="1"/>
  <c r="AN51" i="3"/>
  <c r="AL51" i="3" s="1"/>
  <c r="BD46" i="3"/>
  <c r="BB47" i="3"/>
  <c r="AZ47" i="3" s="1"/>
  <c r="BC47" i="3" s="1"/>
  <c r="BD47" i="3" s="1"/>
  <c r="BP50" i="3"/>
  <c r="BN50" i="3" s="1"/>
  <c r="BQ50" i="3" s="1"/>
  <c r="BR50" i="3" s="1"/>
  <c r="J45" i="3"/>
  <c r="Z53" i="3"/>
  <c r="X53" i="3" s="1"/>
  <c r="CE41" i="3"/>
  <c r="CF41" i="3" s="1"/>
  <c r="C40" i="4" s="1"/>
  <c r="AO51" i="3" l="1"/>
  <c r="AP51" i="3" s="1"/>
  <c r="M45" i="3"/>
  <c r="N45" i="3" s="1"/>
  <c r="BB48" i="3"/>
  <c r="AZ48" i="3" s="1"/>
  <c r="BP51" i="3"/>
  <c r="BN51" i="3" s="1"/>
  <c r="CD42" i="3"/>
  <c r="CB42" i="3" s="1"/>
  <c r="AA53" i="3"/>
  <c r="AB53" i="3" s="1"/>
  <c r="L46" i="3" l="1"/>
  <c r="J46" i="3" s="1"/>
  <c r="M46" i="3" s="1"/>
  <c r="N46" i="3" s="1"/>
  <c r="AN52" i="3"/>
  <c r="AL52" i="3" s="1"/>
  <c r="AO52" i="3" s="1"/>
  <c r="AP52" i="3" s="1"/>
  <c r="Z54" i="3"/>
  <c r="X54" i="3" s="1"/>
  <c r="AA54" i="3" s="1"/>
  <c r="AB54" i="3" s="1"/>
  <c r="CE42" i="3"/>
  <c r="CF42" i="3" s="1"/>
  <c r="C41" i="4" s="1"/>
  <c r="BQ51" i="3"/>
  <c r="BR51" i="3" s="1"/>
  <c r="BC48" i="3"/>
  <c r="BD48" i="3" s="1"/>
  <c r="AN53" i="3" l="1"/>
  <c r="AL53" i="3" s="1"/>
  <c r="AO53" i="3"/>
  <c r="AP53" i="3" s="1"/>
  <c r="L47" i="3"/>
  <c r="J47" i="3" s="1"/>
  <c r="M47" i="3" s="1"/>
  <c r="N47" i="3" s="1"/>
  <c r="Z55" i="3"/>
  <c r="X55" i="3" s="1"/>
  <c r="AA55" i="3" s="1"/>
  <c r="AB55" i="3" s="1"/>
  <c r="BP52" i="3"/>
  <c r="BN52" i="3" s="1"/>
  <c r="BQ52" i="3" s="1"/>
  <c r="BR52" i="3" s="1"/>
  <c r="CD43" i="3"/>
  <c r="CB43" i="3" s="1"/>
  <c r="BB49" i="3"/>
  <c r="AZ49" i="3" s="1"/>
  <c r="AN54" i="3" l="1"/>
  <c r="AL54" i="3" s="1"/>
  <c r="L48" i="3"/>
  <c r="J48" i="3" s="1"/>
  <c r="M48" i="3" s="1"/>
  <c r="N48" i="3" s="1"/>
  <c r="Z56" i="3"/>
  <c r="X56" i="3" s="1"/>
  <c r="AA56" i="3" s="1"/>
  <c r="AB56" i="3" s="1"/>
  <c r="BC49" i="3"/>
  <c r="BD49" i="3" s="1"/>
  <c r="BB50" i="3"/>
  <c r="AZ50" i="3" s="1"/>
  <c r="CE43" i="3"/>
  <c r="CF43" i="3" s="1"/>
  <c r="C42" i="4" s="1"/>
  <c r="BP53" i="3"/>
  <c r="BN53" i="3" s="1"/>
  <c r="L49" i="3" l="1"/>
  <c r="J49" i="3" s="1"/>
  <c r="M49" i="3" s="1"/>
  <c r="N49" i="3" s="1"/>
  <c r="AO54" i="3"/>
  <c r="AP54" i="3" s="1"/>
  <c r="Z57" i="3"/>
  <c r="X57" i="3" s="1"/>
  <c r="BQ53" i="3"/>
  <c r="BR53" i="3" s="1"/>
  <c r="AA57" i="3"/>
  <c r="AB57" i="3" s="1"/>
  <c r="CD44" i="3"/>
  <c r="CB44" i="3" s="1"/>
  <c r="BC50" i="3"/>
  <c r="BD50" i="3" s="1"/>
  <c r="AN55" i="3" l="1"/>
  <c r="AL55" i="3" s="1"/>
  <c r="AO55" i="3"/>
  <c r="AP55" i="3" s="1"/>
  <c r="AN56" i="3"/>
  <c r="AL56" i="3" s="1"/>
  <c r="Z58" i="3"/>
  <c r="X58" i="3" s="1"/>
  <c r="AA58" i="3" s="1"/>
  <c r="AB58" i="3" s="1"/>
  <c r="L50" i="3"/>
  <c r="J50" i="3" s="1"/>
  <c r="M50" i="3" s="1"/>
  <c r="N50" i="3" s="1"/>
  <c r="CE44" i="3"/>
  <c r="CF44" i="3" s="1"/>
  <c r="C43" i="4" s="1"/>
  <c r="BB51" i="3"/>
  <c r="AZ51" i="3" s="1"/>
  <c r="BP54" i="3"/>
  <c r="BN54" i="3" s="1"/>
  <c r="Z59" i="3" l="1"/>
  <c r="X59" i="3" s="1"/>
  <c r="AO56" i="3"/>
  <c r="AP56" i="3" s="1"/>
  <c r="AN57" i="3"/>
  <c r="AL57" i="3" s="1"/>
  <c r="L51" i="3"/>
  <c r="J51" i="3" s="1"/>
  <c r="M51" i="3" s="1"/>
  <c r="BQ54" i="3"/>
  <c r="BR54" i="3" s="1"/>
  <c r="BP55" i="3"/>
  <c r="BN55" i="3" s="1"/>
  <c r="BC51" i="3"/>
  <c r="BD51" i="3" s="1"/>
  <c r="BB52" i="3"/>
  <c r="AZ52" i="3" s="1"/>
  <c r="AA59" i="3"/>
  <c r="AB59" i="3" s="1"/>
  <c r="CD45" i="3"/>
  <c r="CB45" i="3" s="1"/>
  <c r="N51" i="3" l="1"/>
  <c r="L52" i="3"/>
  <c r="J52" i="3" s="1"/>
  <c r="AO57" i="3"/>
  <c r="AP57" i="3" s="1"/>
  <c r="Z60" i="3"/>
  <c r="X60" i="3" s="1"/>
  <c r="AA60" i="3" s="1"/>
  <c r="AB60" i="3" s="1"/>
  <c r="M52" i="3"/>
  <c r="N52" i="3" s="1"/>
  <c r="CE45" i="3"/>
  <c r="CF45" i="3" s="1"/>
  <c r="C44" i="4" s="1"/>
  <c r="BC52" i="3"/>
  <c r="BD52" i="3" s="1"/>
  <c r="BQ55" i="3"/>
  <c r="BR55" i="3" s="1"/>
  <c r="AN58" i="3" l="1"/>
  <c r="AL58" i="3" s="1"/>
  <c r="AO58" i="3"/>
  <c r="AP58" i="3" s="1"/>
  <c r="L53" i="3"/>
  <c r="J53" i="3" s="1"/>
  <c r="BP56" i="3"/>
  <c r="BN56" i="3" s="1"/>
  <c r="BQ56" i="3" s="1"/>
  <c r="BR56" i="3" s="1"/>
  <c r="Z61" i="3"/>
  <c r="X61" i="3" s="1"/>
  <c r="M53" i="3"/>
  <c r="N53" i="3" s="1"/>
  <c r="BB53" i="3"/>
  <c r="AZ53" i="3" s="1"/>
  <c r="BC53" i="3" s="1"/>
  <c r="BD53" i="3" s="1"/>
  <c r="AA61" i="3"/>
  <c r="AB61" i="3" s="1"/>
  <c r="CD46" i="3"/>
  <c r="CB46" i="3" s="1"/>
  <c r="AN59" i="3" l="1"/>
  <c r="AL59" i="3" s="1"/>
  <c r="AO59" i="3" s="1"/>
  <c r="AP59" i="3" s="1"/>
  <c r="L54" i="3"/>
  <c r="J54" i="3" s="1"/>
  <c r="Z62" i="3"/>
  <c r="X62" i="3" s="1"/>
  <c r="AA62" i="3" s="1"/>
  <c r="AB62" i="3" s="1"/>
  <c r="BB54" i="3"/>
  <c r="AZ54" i="3" s="1"/>
  <c r="BC54" i="3" s="1"/>
  <c r="BD54" i="3" s="1"/>
  <c r="BP57" i="3"/>
  <c r="BN57" i="3" s="1"/>
  <c r="BQ57" i="3" s="1"/>
  <c r="BR57" i="3" s="1"/>
  <c r="M54" i="3"/>
  <c r="N54" i="3" s="1"/>
  <c r="CE46" i="3"/>
  <c r="CF46" i="3" s="1"/>
  <c r="C45" i="4" s="1"/>
  <c r="AN60" i="3" l="1"/>
  <c r="AL60" i="3" s="1"/>
  <c r="L55" i="3"/>
  <c r="J55" i="3" s="1"/>
  <c r="AO60" i="3"/>
  <c r="AP60" i="3" s="1"/>
  <c r="AN61" i="3"/>
  <c r="AL61" i="3" s="1"/>
  <c r="BP58" i="3"/>
  <c r="BN58" i="3" s="1"/>
  <c r="BQ58" i="3" s="1"/>
  <c r="BR58" i="3" s="1"/>
  <c r="BB55" i="3"/>
  <c r="AZ55" i="3" s="1"/>
  <c r="BC55" i="3" s="1"/>
  <c r="BD55" i="3" s="1"/>
  <c r="M55" i="3"/>
  <c r="N55" i="3" s="1"/>
  <c r="L56" i="3"/>
  <c r="J56" i="3" s="1"/>
  <c r="CD47" i="3"/>
  <c r="CB47" i="3" s="1"/>
  <c r="Z63" i="3"/>
  <c r="X63" i="3" s="1"/>
  <c r="AO61" i="3" l="1"/>
  <c r="AP61" i="3" s="1"/>
  <c r="BB56" i="3"/>
  <c r="AZ56" i="3" s="1"/>
  <c r="BC56" i="3" s="1"/>
  <c r="BD56" i="3" s="1"/>
  <c r="M56" i="3"/>
  <c r="N56" i="3" s="1"/>
  <c r="L57" i="3"/>
  <c r="J57" i="3" s="1"/>
  <c r="CE47" i="3"/>
  <c r="CF47" i="3" s="1"/>
  <c r="C46" i="4" s="1"/>
  <c r="BP59" i="3"/>
  <c r="BN59" i="3" s="1"/>
  <c r="AA63" i="3"/>
  <c r="AB63" i="3" s="1"/>
  <c r="AN62" i="3" l="1"/>
  <c r="AL62" i="3" s="1"/>
  <c r="M57" i="3"/>
  <c r="N57" i="3" s="1"/>
  <c r="BQ59" i="3"/>
  <c r="BR59" i="3" s="1"/>
  <c r="BB57" i="3"/>
  <c r="AZ57" i="3" s="1"/>
  <c r="Z64" i="3"/>
  <c r="X64" i="3" s="1"/>
  <c r="CD48" i="3"/>
  <c r="CB48" i="3" s="1"/>
  <c r="L58" i="3" l="1"/>
  <c r="J58" i="3" s="1"/>
  <c r="M58" i="3" s="1"/>
  <c r="N58" i="3" s="1"/>
  <c r="AO62" i="3"/>
  <c r="AP62" i="3" s="1"/>
  <c r="CE48" i="3"/>
  <c r="CF48" i="3" s="1"/>
  <c r="C47" i="4" s="1"/>
  <c r="BC57" i="3"/>
  <c r="BD57" i="3" s="1"/>
  <c r="AA64" i="3"/>
  <c r="AB64" i="3" s="1"/>
  <c r="BP60" i="3"/>
  <c r="BN60" i="3" s="1"/>
  <c r="L59" i="3" l="1"/>
  <c r="J59" i="3" s="1"/>
  <c r="M59" i="3" s="1"/>
  <c r="BB58" i="3"/>
  <c r="AZ58" i="3" s="1"/>
  <c r="AN63" i="3"/>
  <c r="AL63" i="3" s="1"/>
  <c r="AO63" i="3" s="1"/>
  <c r="AP63" i="3" s="1"/>
  <c r="Z65" i="3"/>
  <c r="X65" i="3" s="1"/>
  <c r="AA65" i="3" s="1"/>
  <c r="AB65" i="3" s="1"/>
  <c r="BC58" i="3"/>
  <c r="BD58" i="3" s="1"/>
  <c r="BQ60" i="3"/>
  <c r="BR60" i="3" s="1"/>
  <c r="CD49" i="3"/>
  <c r="CB49" i="3" s="1"/>
  <c r="N59" i="3" l="1"/>
  <c r="L60" i="3"/>
  <c r="J60" i="3" s="1"/>
  <c r="AN64" i="3"/>
  <c r="AL64" i="3" s="1"/>
  <c r="AO64" i="3"/>
  <c r="AP64" i="3" s="1"/>
  <c r="Z66" i="3"/>
  <c r="X66" i="3" s="1"/>
  <c r="AA66" i="3" s="1"/>
  <c r="AB66" i="3" s="1"/>
  <c r="BB59" i="3"/>
  <c r="AZ59" i="3" s="1"/>
  <c r="BC59" i="3" s="1"/>
  <c r="BD59" i="3" s="1"/>
  <c r="M60" i="3"/>
  <c r="N60" i="3" s="1"/>
  <c r="CE49" i="3"/>
  <c r="CF49" i="3" s="1"/>
  <c r="C48" i="4" s="1"/>
  <c r="BP61" i="3"/>
  <c r="BN61" i="3" s="1"/>
  <c r="AN65" i="3" l="1"/>
  <c r="AL65" i="3" s="1"/>
  <c r="AO65" i="3" s="1"/>
  <c r="AP65" i="3" s="1"/>
  <c r="L61" i="3"/>
  <c r="J61" i="3" s="1"/>
  <c r="M61" i="3" s="1"/>
  <c r="N61" i="3" s="1"/>
  <c r="BB60" i="3"/>
  <c r="AZ60" i="3" s="1"/>
  <c r="BC60" i="3" s="1"/>
  <c r="BD60" i="3" s="1"/>
  <c r="Z67" i="3"/>
  <c r="X67" i="3" s="1"/>
  <c r="AA67" i="3" s="1"/>
  <c r="AB67" i="3" s="1"/>
  <c r="BQ61" i="3"/>
  <c r="BR61" i="3" s="1"/>
  <c r="CD50" i="3"/>
  <c r="CB50" i="3" s="1"/>
  <c r="AN66" i="3" l="1"/>
  <c r="AL66" i="3" s="1"/>
  <c r="AO66" i="3" s="1"/>
  <c r="AP66" i="3" s="1"/>
  <c r="Z68" i="3"/>
  <c r="X68" i="3" s="1"/>
  <c r="AA68" i="3" s="1"/>
  <c r="AB68" i="3" s="1"/>
  <c r="BB61" i="3"/>
  <c r="AZ61" i="3" s="1"/>
  <c r="BC61" i="3" s="1"/>
  <c r="BD61" i="3" s="1"/>
  <c r="BP62" i="3"/>
  <c r="BN62" i="3" s="1"/>
  <c r="BQ62" i="3" s="1"/>
  <c r="BR62" i="3" s="1"/>
  <c r="L62" i="3"/>
  <c r="J62" i="3" s="1"/>
  <c r="CE50" i="3"/>
  <c r="CF50" i="3" s="1"/>
  <c r="C49" i="4" s="1"/>
  <c r="BP63" i="3" l="1"/>
  <c r="BN63" i="3" s="1"/>
  <c r="BQ63" i="3" s="1"/>
  <c r="BR63" i="3" s="1"/>
  <c r="AN67" i="3"/>
  <c r="AL67" i="3" s="1"/>
  <c r="BB62" i="3"/>
  <c r="AZ62" i="3" s="1"/>
  <c r="BC62" i="3" s="1"/>
  <c r="BD62" i="3" s="1"/>
  <c r="M62" i="3"/>
  <c r="N62" i="3" s="1"/>
  <c r="CD51" i="3"/>
  <c r="CB51" i="3" s="1"/>
  <c r="AO67" i="3" l="1"/>
  <c r="AP67" i="3" s="1"/>
  <c r="AN68" i="3"/>
  <c r="AL68" i="3" s="1"/>
  <c r="AO68" i="3" s="1"/>
  <c r="AP68" i="3" s="1"/>
  <c r="BP64" i="3"/>
  <c r="BN64" i="3" s="1"/>
  <c r="BB63" i="3"/>
  <c r="AZ63" i="3" s="1"/>
  <c r="L63" i="3"/>
  <c r="J63" i="3" s="1"/>
  <c r="BC63" i="3"/>
  <c r="BD63" i="3" s="1"/>
  <c r="BQ64" i="3"/>
  <c r="BR64" i="3" s="1"/>
  <c r="CE51" i="3"/>
  <c r="CF51" i="3" s="1"/>
  <c r="C50" i="4" s="1"/>
  <c r="BB64" i="3" l="1"/>
  <c r="AZ64" i="3" s="1"/>
  <c r="BP65" i="3"/>
  <c r="BN65" i="3" s="1"/>
  <c r="M63" i="3"/>
  <c r="N63" i="3" s="1"/>
  <c r="CD52" i="3"/>
  <c r="CB52" i="3" s="1"/>
  <c r="BQ65" i="3"/>
  <c r="BR65" i="3" s="1"/>
  <c r="BC64" i="3"/>
  <c r="BD64" i="3" s="1"/>
  <c r="BP66" i="3" l="1"/>
  <c r="BN66" i="3" s="1"/>
  <c r="BQ66" i="3" s="1"/>
  <c r="BR66" i="3" s="1"/>
  <c r="BB65" i="3"/>
  <c r="AZ65" i="3" s="1"/>
  <c r="BC65" i="3" s="1"/>
  <c r="BD65" i="3" s="1"/>
  <c r="L64" i="3"/>
  <c r="J64" i="3" s="1"/>
  <c r="CE52" i="3"/>
  <c r="CF52" i="3" s="1"/>
  <c r="C51" i="4" s="1"/>
  <c r="BB66" i="3" l="1"/>
  <c r="AZ66" i="3" s="1"/>
  <c r="BC66" i="3" s="1"/>
  <c r="BD66" i="3" s="1"/>
  <c r="BP67" i="3"/>
  <c r="BN67" i="3" s="1"/>
  <c r="BQ67" i="3" s="1"/>
  <c r="BR67" i="3" s="1"/>
  <c r="M64" i="3"/>
  <c r="N64" i="3" s="1"/>
  <c r="CD53" i="3"/>
  <c r="CB53" i="3" s="1"/>
  <c r="BB67" i="3" l="1"/>
  <c r="AZ67" i="3" s="1"/>
  <c r="BC67" i="3" s="1"/>
  <c r="BD67" i="3" s="1"/>
  <c r="BP68" i="3"/>
  <c r="BN68" i="3" s="1"/>
  <c r="BQ68" i="3" s="1"/>
  <c r="BR68" i="3" s="1"/>
  <c r="L65" i="3"/>
  <c r="J65" i="3" s="1"/>
  <c r="CE53" i="3"/>
  <c r="CF53" i="3" s="1"/>
  <c r="C52" i="4" s="1"/>
  <c r="BB68" i="3" l="1"/>
  <c r="AZ68" i="3" s="1"/>
  <c r="BC68" i="3" s="1"/>
  <c r="BD68" i="3" s="1"/>
  <c r="M65" i="3"/>
  <c r="N65" i="3" s="1"/>
  <c r="CD54" i="3"/>
  <c r="CB54" i="3" s="1"/>
  <c r="L66" i="3" l="1"/>
  <c r="J66" i="3" s="1"/>
  <c r="CE54" i="3"/>
  <c r="CF54" i="3" s="1"/>
  <c r="C53" i="4" s="1"/>
  <c r="M66" i="3" l="1"/>
  <c r="L67" i="3" s="1"/>
  <c r="CD55" i="3"/>
  <c r="CB55" i="3" s="1"/>
  <c r="J67" i="3" l="1"/>
  <c r="N66" i="3"/>
  <c r="CE55" i="3"/>
  <c r="CF55" i="3" s="1"/>
  <c r="C54" i="4" s="1"/>
  <c r="M67" i="3" l="1"/>
  <c r="N67" i="3" s="1"/>
  <c r="CD56" i="3"/>
  <c r="CB56" i="3" s="1"/>
  <c r="L68" i="3" l="1"/>
  <c r="CE56" i="3"/>
  <c r="CF56" i="3" s="1"/>
  <c r="C55" i="4" s="1"/>
  <c r="J68" i="3" l="1"/>
  <c r="M68" i="3" s="1"/>
  <c r="N68" i="3" s="1"/>
  <c r="B13" i="2"/>
  <c r="CD57" i="3"/>
  <c r="CB57" i="3" s="1"/>
  <c r="CE57" i="3" l="1"/>
  <c r="CF57" i="3" s="1"/>
  <c r="C56" i="4" s="1"/>
  <c r="CD58" i="3" l="1"/>
  <c r="CB58" i="3" s="1"/>
  <c r="CE58" i="3" l="1"/>
  <c r="CF58" i="3" s="1"/>
  <c r="C57" i="4" s="1"/>
  <c r="CD59" i="3" l="1"/>
  <c r="CB59" i="3" s="1"/>
  <c r="CE59" i="3" l="1"/>
  <c r="CF59" i="3" s="1"/>
  <c r="C58" i="4" s="1"/>
  <c r="CD60" i="3" l="1"/>
  <c r="CB60" i="3" s="1"/>
  <c r="CE60" i="3" l="1"/>
  <c r="CF60" i="3" s="1"/>
  <c r="C59" i="4" s="1"/>
  <c r="CD61" i="3" l="1"/>
  <c r="CB61" i="3" s="1"/>
  <c r="CE61" i="3" l="1"/>
  <c r="CF61" i="3" s="1"/>
  <c r="C60" i="4" s="1"/>
  <c r="CD62" i="3" l="1"/>
  <c r="CB62" i="3" s="1"/>
  <c r="CE62" i="3" s="1"/>
  <c r="CF62" i="3" s="1"/>
  <c r="C61" i="4" s="1"/>
  <c r="CD63" i="3" l="1"/>
  <c r="CB63" i="3" s="1"/>
  <c r="CE63" i="3" s="1"/>
  <c r="CF63" i="3" s="1"/>
  <c r="C62" i="4" s="1"/>
  <c r="CD64" i="3" l="1"/>
  <c r="CB64" i="3" s="1"/>
  <c r="CE64" i="3" s="1"/>
  <c r="CF64" i="3" s="1"/>
  <c r="C63" i="4" s="1"/>
  <c r="CD65" i="3" l="1"/>
  <c r="CB65" i="3" s="1"/>
  <c r="CE65" i="3" s="1"/>
  <c r="CF65" i="3" l="1"/>
  <c r="C64" i="4" s="1"/>
  <c r="CD66" i="3"/>
  <c r="CB66" i="3" s="1"/>
  <c r="CE66" i="3" s="1"/>
  <c r="CF66" i="3" s="1"/>
  <c r="C65" i="4" s="1"/>
  <c r="CD67" i="3" l="1"/>
  <c r="CB67" i="3" s="1"/>
  <c r="CE67" i="3" s="1"/>
  <c r="CF67" i="3" s="1"/>
  <c r="C66" i="4" s="1"/>
  <c r="CD68" i="3" l="1"/>
  <c r="CB68" i="3" s="1"/>
  <c r="CE68" i="3" s="1"/>
  <c r="CF68" i="3" s="1"/>
  <c r="C67" i="4" s="1"/>
  <c r="C68" i="4" s="1"/>
  <c r="D51" i="6" l="1"/>
  <c r="G94" i="5" l="1"/>
  <c r="G95" i="5"/>
  <c r="G96" i="5"/>
  <c r="C12" i="5" s="1"/>
  <c r="C11" i="5" l="1"/>
  <c r="F62" i="2"/>
  <c r="F64" i="2" s="1"/>
  <c r="C10" i="5"/>
  <c r="F56" i="2"/>
  <c r="F58" i="2" s="1"/>
  <c r="F4" i="2" l="1"/>
  <c r="H43" i="6" l="1"/>
  <c r="K43" i="6"/>
  <c r="F57" i="5" l="1"/>
  <c r="E66" i="5" s="1"/>
  <c r="Z57" i="5"/>
  <c r="E79" i="5" s="1"/>
  <c r="I39" i="6" l="1"/>
  <c r="I38" i="6"/>
  <c r="I40" i="6"/>
  <c r="I41" i="6"/>
  <c r="K55" i="6" l="1"/>
  <c r="I37" i="6"/>
  <c r="I43" i="6" s="1"/>
  <c r="L55" i="6"/>
  <c r="J57" i="5" l="1"/>
  <c r="E67" i="5" s="1"/>
  <c r="P57" i="5"/>
  <c r="E73" i="5" s="1"/>
  <c r="K57" i="5"/>
  <c r="E68" i="5" s="1"/>
  <c r="Q57" i="5"/>
  <c r="E74" i="5" s="1"/>
  <c r="E87" i="5"/>
  <c r="AI29" i="5"/>
  <c r="B61" i="2" s="1"/>
  <c r="AE54" i="5"/>
  <c r="E84" i="5"/>
  <c r="R57" i="5"/>
  <c r="E75" i="5" s="1"/>
  <c r="F87" i="5" l="1"/>
  <c r="G87" i="5" s="1"/>
  <c r="F84" i="5"/>
  <c r="G84" i="5" s="1"/>
  <c r="G85" i="5" s="1"/>
  <c r="AE57" i="5"/>
  <c r="F73" i="5" s="1"/>
  <c r="G73" i="5" s="1"/>
  <c r="F67" i="5" l="1"/>
  <c r="G67" i="5" s="1"/>
  <c r="F75" i="5"/>
  <c r="G75" i="5" s="1"/>
  <c r="C81" i="4"/>
  <c r="C83" i="4" s="1"/>
  <c r="C85" i="4" s="1"/>
  <c r="C86" i="4" s="1"/>
  <c r="C87" i="4" s="1"/>
  <c r="F78" i="5"/>
  <c r="G78" i="5" s="1"/>
  <c r="F77" i="5"/>
  <c r="G77" i="5" s="1"/>
  <c r="F69" i="5"/>
  <c r="G69" i="5" s="1"/>
  <c r="F80" i="5"/>
  <c r="G80" i="5" s="1"/>
  <c r="F30" i="2" s="1"/>
  <c r="F71" i="5"/>
  <c r="G71" i="5" s="1"/>
  <c r="F64" i="5"/>
  <c r="G64" i="5" s="1"/>
  <c r="F66" i="5"/>
  <c r="G66" i="5" s="1"/>
  <c r="F79" i="5"/>
  <c r="G79" i="5" s="1"/>
  <c r="F31" i="2" s="1"/>
  <c r="F68" i="5"/>
  <c r="G68" i="5" s="1"/>
  <c r="F74" i="5"/>
  <c r="G74" i="5" s="1"/>
  <c r="G93" i="5" l="1"/>
  <c r="F20" i="2"/>
  <c r="G92" i="5" l="1"/>
  <c r="F92" i="5" s="1"/>
  <c r="G91" i="5"/>
  <c r="F91" i="5" l="1"/>
  <c r="F48" i="2"/>
  <c r="H55" i="6" l="1"/>
  <c r="I55" i="6"/>
  <c r="J55" i="6"/>
  <c r="D37" i="6" s="1"/>
  <c r="M57" i="5"/>
  <c r="E63" i="5" s="1"/>
  <c r="F63" i="5" s="1"/>
  <c r="G63" i="5" s="1"/>
  <c r="T57" i="5"/>
  <c r="E76" i="5" s="1"/>
  <c r="F76" i="5" s="1"/>
  <c r="G76" i="5" s="1"/>
  <c r="E86" i="5"/>
  <c r="F86" i="5" s="1"/>
  <c r="G86" i="5" s="1"/>
  <c r="G88" i="5" s="1"/>
  <c r="F41" i="2" s="1"/>
  <c r="G90" i="5"/>
  <c r="F90" i="5" s="1"/>
  <c r="F47" i="2" l="1"/>
  <c r="D50" i="6"/>
  <c r="L57" i="5" s="1"/>
  <c r="E65" i="5" s="1"/>
  <c r="F65" i="5" s="1"/>
  <c r="G65" i="5" s="1"/>
  <c r="G70" i="5" s="1"/>
  <c r="E82" i="5"/>
  <c r="F82" i="5" s="1"/>
  <c r="G82" i="5" s="1"/>
  <c r="E83" i="5"/>
  <c r="F83" i="5" s="1"/>
  <c r="G83" i="5" s="1"/>
  <c r="O57" i="5" l="1"/>
  <c r="E72" i="5" s="1"/>
  <c r="F72" i="5" s="1"/>
  <c r="G72" i="5" s="1"/>
  <c r="G81" i="5" s="1"/>
  <c r="F27" i="2"/>
  <c r="F34"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Yu, Guo@ARB</author>
  </authors>
  <commentList>
    <comment ref="A3" authorId="0" shapeId="0" xr:uid="{75A78339-7631-4483-B2C8-6F812F2CEE69}">
      <text>
        <r>
          <rPr>
            <sz val="9"/>
            <color indexed="81"/>
            <rFont val="Tahoma"/>
            <family val="2"/>
          </rPr>
          <t xml:space="preserve">NMED:
Please enter the fuel pathway application number here.
</t>
        </r>
      </text>
    </comment>
    <comment ref="B6" authorId="0" shapeId="0" xr:uid="{36470D00-71D4-4954-98FE-7C36794F2512}">
      <text>
        <r>
          <rPr>
            <sz val="9"/>
            <color indexed="81"/>
            <rFont val="Tahoma"/>
            <family val="2"/>
          </rPr>
          <t xml:space="preserve">NMED:
The pathway description in this cell is populated by NMED staff only.
</t>
        </r>
      </text>
    </comment>
    <comment ref="B51" authorId="0" shapeId="0" xr:uid="{C8F7363D-7E59-4257-A576-FB9605EA93A2}">
      <text>
        <r>
          <rPr>
            <sz val="9"/>
            <color indexed="81"/>
            <rFont val="Tahoma"/>
            <family val="2"/>
          </rPr>
          <t xml:space="preserve">NMED:
Fuel for Biomethane transport is included in the Energy Return on Investment calculation.
</t>
        </r>
      </text>
    </comment>
    <comment ref="B52" authorId="0" shapeId="0" xr:uid="{00686EEF-F3FF-4A58-9DDC-EDCD0418DE28}">
      <text>
        <r>
          <rPr>
            <sz val="9"/>
            <color indexed="81"/>
            <rFont val="Tahoma"/>
            <family val="2"/>
          </rPr>
          <t>NMED:
NG used to boost Btu before injection is included in the Energy Return on Investment calculation.</t>
        </r>
      </text>
    </comment>
    <comment ref="B53" authorId="0" shapeId="0" xr:uid="{7574817D-5EA4-422F-8AD1-D3AB951D4B54}">
      <text>
        <r>
          <rPr>
            <sz val="9"/>
            <color indexed="81"/>
            <rFont val="Tahoma"/>
            <family val="2"/>
          </rPr>
          <t xml:space="preserve">NMED:
Propane used to boost Btu before injection is included in the Energy Return on Investment calculation.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Rui Chen</author>
    <author>Yu, Guo@ARB</author>
  </authors>
  <commentList>
    <comment ref="I6" authorId="0" shapeId="0" xr:uid="{E1457360-5B13-45B2-81E1-79A776BC96C1}">
      <text>
        <r>
          <rPr>
            <sz val="9"/>
            <color indexed="81"/>
            <rFont val="Tahoma"/>
            <family val="2"/>
          </rPr>
          <t>NMED:
The fraction of volatile solids sent to each anaerobic storage/treatment system for each livestock category represents the percent of manure that would be sent to (managed by) the anaerobic manure storage/treatment systems, taking into account any volatile solids removed by solid separation equipment, in the project baseline case, as if the BCS was never installed. Site-specific data must be used if available. If site-specific data is unavailable, values from Table A.9 (see Reference tab) can be used to calculate this value.</t>
        </r>
      </text>
    </comment>
    <comment ref="K6" authorId="1" shapeId="0" xr:uid="{6C3DCE73-83FE-4476-ADA5-A4078166BE9B}">
      <text>
        <r>
          <rPr>
            <sz val="9"/>
            <color indexed="81"/>
            <rFont val="Tahoma"/>
            <family val="2"/>
          </rPr>
          <t>NMED:
Annual cleanout in September every year is required. Please see the instruction manual of the calculator for more details.</t>
        </r>
      </text>
    </comment>
    <comment ref="W6" authorId="0" shapeId="0" xr:uid="{1993FDDA-B7D3-4FB3-A3C5-251E53277F29}">
      <text>
        <r>
          <rPr>
            <sz val="9"/>
            <color indexed="81"/>
            <rFont val="Tahoma"/>
            <family val="2"/>
          </rPr>
          <t>NMED:
The fraction of volatile solids sent to each anaerobic storage/treatment system for each livestock category represents the percent of manure that would be sent to (managed by) the anaerobic manure storage/treatment systems, taking into account any volatile solids removed by solid separation equipment, in the project baseline case, as if the BCS was never installed. Site-specific data must be used if available. If site-specific data is unavailable, values from Table A.9 (see Reference tab) can be used to calculate this value.</t>
        </r>
      </text>
    </comment>
    <comment ref="Y6" authorId="1" shapeId="0" xr:uid="{E96F0BFA-098C-404F-A587-A3A9E498C50D}">
      <text>
        <r>
          <rPr>
            <sz val="9"/>
            <color indexed="81"/>
            <rFont val="Tahoma"/>
            <family val="2"/>
          </rPr>
          <t>NMED:
Annual cleanout in September every year is required. Please see the instruction manual of the calculator for more details.</t>
        </r>
      </text>
    </comment>
    <comment ref="AK6" authorId="0" shapeId="0" xr:uid="{4016D8AE-5736-4A13-8FBC-635F61CEE88C}">
      <text>
        <r>
          <rPr>
            <sz val="9"/>
            <color indexed="81"/>
            <rFont val="Tahoma"/>
            <family val="2"/>
          </rPr>
          <t>NMED:
The fraction of volatile solids sent to each anaerobic storage/treatment system for each livestock category represents the percent of manure that would be sent to (managed by) the anaerobic manure storage/treatment systems, taking into account any volatile solids removed by solid separation equipment, in the project baseline case, as if the BCS was never installed. Site-specific data must be used if available. If site-specific data is unavailable, values from Table A.9 (see Reference tab) can be used to calculate this value.</t>
        </r>
      </text>
    </comment>
    <comment ref="AM6" authorId="1" shapeId="0" xr:uid="{398EA064-6354-4480-9BF1-BD9AC99602FF}">
      <text>
        <r>
          <rPr>
            <sz val="9"/>
            <color indexed="81"/>
            <rFont val="Tahoma"/>
            <family val="2"/>
          </rPr>
          <t>NMED:
Annual cleanout in September every year is required. Please see the instruction manual of the calculator for more details.</t>
        </r>
      </text>
    </comment>
    <comment ref="AY6" authorId="0" shapeId="0" xr:uid="{767BEE54-5E74-423B-B724-B8B490E8AAE4}">
      <text>
        <r>
          <rPr>
            <sz val="9"/>
            <color indexed="81"/>
            <rFont val="Tahoma"/>
            <family val="2"/>
          </rPr>
          <t>NMED:
The fraction of volatile solids sent to each anaerobic storage/treatment system for each livestock category represents the percent of manure that would be sent to (managed by) the anaerobic manure storage/treatment systems, taking into account any volatile solids removed by solid separation equipment, in the project baseline case, as if the BCS was never installed. Site-specific data must be used if available. If site-specific data is unavailable, values from Table A.9 (see Reference tab) can be used to calculate this value.</t>
        </r>
      </text>
    </comment>
    <comment ref="BA6" authorId="1" shapeId="0" xr:uid="{CD3E1457-E88D-4EC7-B3EC-45278DB3063F}">
      <text>
        <r>
          <rPr>
            <sz val="9"/>
            <color indexed="81"/>
            <rFont val="Tahoma"/>
            <family val="2"/>
          </rPr>
          <t>NMED:
Annual cleanout in September every year is required. Please see the instruction manual of the calculator for more details.</t>
        </r>
      </text>
    </comment>
    <comment ref="BM6" authorId="0" shapeId="0" xr:uid="{2A04856D-BB65-4012-9E83-BFCAB364401D}">
      <text>
        <r>
          <rPr>
            <sz val="9"/>
            <color indexed="81"/>
            <rFont val="Tahoma"/>
            <family val="2"/>
          </rPr>
          <t>NMED:
The fraction of volatile solids sent to each anaerobic storage/treatment system for each livestock category represents the percent of manure that would be sent to (managed by) the anaerobic manure storage/treatment systems, taking into account any volatile solids removed by solid separation equipment, in the project baseline case, as if the BCS was never installed. Site-specific data must be used if available. If site-specific data is unavailable, values from Table A.9 (see Reference tab) can be used to calculate this value.</t>
        </r>
      </text>
    </comment>
    <comment ref="BO6" authorId="1" shapeId="0" xr:uid="{F009BC32-F399-4A09-BC13-3821500F1138}">
      <text>
        <r>
          <rPr>
            <sz val="9"/>
            <color indexed="81"/>
            <rFont val="Tahoma"/>
            <family val="2"/>
          </rPr>
          <t>NMED:
Annual cleanout in September every year is required. Please see the instruction manual of the calculator for more details.</t>
        </r>
      </text>
    </comment>
    <comment ref="CA6" authorId="0" shapeId="0" xr:uid="{2DC1D664-AB07-44C2-8369-ABAD5D2E098B}">
      <text>
        <r>
          <rPr>
            <sz val="9"/>
            <color indexed="81"/>
            <rFont val="Tahoma"/>
            <family val="2"/>
          </rPr>
          <t>NMED:
The fraction of volatile solids sent to each anaerobic storage/treatment system for each livestock category represents the percent of manure that would be sent to (managed by) the anaerobic manure storage/treatment systems, taking into account any volatile solids removed by solid separation equipment, in the project baseline case, as if the BCS was never installed. Site-specific data must be used if available. If site-specific data is unavailable, values from Table A.9 (see Reference tab) can be used to calculate this value.</t>
        </r>
      </text>
    </comment>
    <comment ref="CC6" authorId="1" shapeId="0" xr:uid="{E1FE22B3-6CDE-42F6-9523-95E20F836017}">
      <text>
        <r>
          <rPr>
            <sz val="9"/>
            <color indexed="81"/>
            <rFont val="Tahoma"/>
            <family val="2"/>
          </rPr>
          <t>NMED:
Annual cleanout in September every year is required. Please see the instruction manual of the calculator for more details.</t>
        </r>
      </text>
    </comment>
    <comment ref="B7" authorId="0" shapeId="0" xr:uid="{969335D3-E90C-435C-BF3F-4AB8096D894E}">
      <text>
        <r>
          <rPr>
            <sz val="9"/>
            <color indexed="81"/>
            <rFont val="Tahoma"/>
            <family val="2"/>
          </rPr>
          <t>NMED:
Only livestock categories listed here (dairy cattle and swine) are eligible for the avoided emissions credit.</t>
        </r>
      </text>
    </comment>
    <comment ref="P7" authorId="0" shapeId="0" xr:uid="{B6C77E35-45EA-4263-8296-7BEB1E281B90}">
      <text>
        <r>
          <rPr>
            <sz val="9"/>
            <color indexed="81"/>
            <rFont val="Tahoma"/>
            <family val="2"/>
          </rPr>
          <t>NMED:
Only livestock categories listed here (dairy cattle and swine) are eligible for the avoided emissions credit.</t>
        </r>
      </text>
    </comment>
    <comment ref="AD7" authorId="0" shapeId="0" xr:uid="{AA12473B-ECD2-4C15-9156-2DB69AB90601}">
      <text>
        <r>
          <rPr>
            <sz val="9"/>
            <color indexed="81"/>
            <rFont val="Tahoma"/>
            <family val="2"/>
          </rPr>
          <t>NMED:
Only livestock categories listed here (dairy cattle and swine) are eligible for the avoided emissions credit.</t>
        </r>
      </text>
    </comment>
    <comment ref="AR7" authorId="0" shapeId="0" xr:uid="{8CC6AC75-C5B5-4006-9910-8B4DBF31217D}">
      <text>
        <r>
          <rPr>
            <sz val="9"/>
            <color indexed="81"/>
            <rFont val="Tahoma"/>
            <family val="2"/>
          </rPr>
          <t>NMED:
Only livestock categories listed here (dairy cattle and swine) are eligible for the avoided emissions credit.</t>
        </r>
      </text>
    </comment>
    <comment ref="BF7" authorId="0" shapeId="0" xr:uid="{F6B39F0F-89A0-470D-909F-6F6363D8806C}">
      <text>
        <r>
          <rPr>
            <sz val="9"/>
            <color indexed="81"/>
            <rFont val="Tahoma"/>
            <family val="2"/>
          </rPr>
          <t>NMED:
Only livestock categories listed here (dairy cattle and swine) are eligible for the avoided emissions credit.</t>
        </r>
      </text>
    </comment>
    <comment ref="BT7" authorId="0" shapeId="0" xr:uid="{3E764B94-FAAB-4229-8BE2-E5D48DBF7A76}">
      <text>
        <r>
          <rPr>
            <sz val="9"/>
            <color indexed="81"/>
            <rFont val="Tahoma"/>
            <family val="2"/>
          </rPr>
          <t>NMED:
Only livestock categories listed here (dairy cattle and swine) are eligible for the avoided emissions credit.</t>
        </r>
      </text>
    </comment>
    <comment ref="B87" authorId="1" shapeId="0" xr:uid="{EEAF7E83-559E-4F42-8553-C7D79684B560}">
      <text>
        <r>
          <rPr>
            <sz val="9"/>
            <color indexed="81"/>
            <rFont val="Tahoma"/>
            <family val="2"/>
          </rPr>
          <t>NMED:
This reflects the Project reporting month, which should be input in Field 2.3 in "Biogas-to-RNG" worksheet.</t>
        </r>
      </text>
    </comment>
    <comment ref="I87" authorId="1" shapeId="0" xr:uid="{8F71809F-055F-4D0C-9F10-D949E56AC11C}">
      <text>
        <r>
          <rPr>
            <sz val="9"/>
            <color indexed="81"/>
            <rFont val="Tahoma"/>
            <family val="2"/>
          </rPr>
          <t xml:space="preserve">NMED:
Methane emissions from the vented biogas can be calculated by using two methods: 
Method 1: Estimation based on the Equation 5.6 in LOP (Fields L3.2~L3.5); 
Method 2: Calculation based on metering data (Fields L3.6 &amp; L3.7). 
Applicant can populate data either in Fields L3.2~L3.5, or in Fields L3.6~L3.7 depending on the data availability for the venting event. 
Density of CH4: 0.0423 lbs/scf
Mass conversion factor: 0.000454 MT/lb
</t>
        </r>
      </text>
    </comment>
    <comment ref="F118" authorId="0" shapeId="0" xr:uid="{152A0F31-5231-4EB3-B2C1-88394F4F1482}">
      <text>
        <r>
          <rPr>
            <sz val="9"/>
            <color indexed="81"/>
            <rFont val="Tahoma"/>
            <family val="2"/>
          </rPr>
          <t>NMED:
The fraction of volatile solids sent to the BCS for each livestock
category represents the fraction of manure that was sent to (managed by) the BCS, taking into account any volatile solids removed by solid separation equipment. Site-specific data must be used if available. . If site-specific data is unavailable, values from Table A.9 (see EFTable tab) can be used to calculate this value.</t>
        </r>
      </text>
    </comment>
    <comment ref="H118" authorId="1" shapeId="0" xr:uid="{AD605A00-0E76-4B5E-9383-4F622177342D}">
      <text>
        <r>
          <rPr>
            <sz val="9"/>
            <color indexed="81"/>
            <rFont val="Tahoma"/>
            <family val="2"/>
          </rPr>
          <t xml:space="preserve">NMED:
Factor "0.3" used in the calculation is a default value representing the amount of VS that exits the digester as a percentage of the VS entering the digester.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Rui Chen</author>
  </authors>
  <commentList>
    <comment ref="B5" authorId="0" shapeId="0" xr:uid="{72D3759E-5A73-4483-84C6-F80E25CE0C7F}">
      <text>
        <r>
          <rPr>
            <sz val="9"/>
            <color indexed="81"/>
            <rFont val="Tahoma"/>
            <family val="2"/>
          </rPr>
          <t>NMED:
This reflects the Baseline reporting months.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Yu, Guo@ARB</author>
    <author>Chan Pham</author>
  </authors>
  <commentList>
    <comment ref="E25" authorId="0" shapeId="0" xr:uid="{B969CBE2-38A7-426C-AC7E-62EC0CAC7EB9}">
      <text>
        <r>
          <rPr>
            <sz val="9"/>
            <color indexed="81"/>
            <rFont val="Tahoma"/>
            <family val="2"/>
          </rPr>
          <t xml:space="preserve">NMED:
For metered vented biogas, please report it in Section L3 in "Manure-to-Biogas (LOP Inputs)" worksheet.
</t>
        </r>
      </text>
    </comment>
    <comment ref="N27" authorId="0" shapeId="0" xr:uid="{AB877874-FBC2-4FD0-BFFE-F6C68D632DA8}">
      <text>
        <r>
          <rPr>
            <sz val="9"/>
            <color indexed="81"/>
            <rFont val="Tahoma"/>
            <family val="2"/>
          </rPr>
          <t xml:space="preserve">NMED:
If "User-Defined Fuel-1", "User-Defined Fuel-2", or "User-Defined Fuel-3" is selected, please input the emission factor for the user-defined fuel in the 'Fuel used in pathway' table in the "EF Table" worksheet. The user-defined fuel must be reported with the unit of MJ.
</t>
        </r>
      </text>
    </comment>
    <comment ref="U27" authorId="0" shapeId="0" xr:uid="{6326DA63-2BDF-4DAE-B40E-4D6F76057581}">
      <text>
        <r>
          <rPr>
            <sz val="9"/>
            <color indexed="81"/>
            <rFont val="Tahoma"/>
            <family val="2"/>
          </rPr>
          <t xml:space="preserve">NMED:
If "User-Defined Fuel-1", "User-Defined Fuel-2", or "User-Defined Fuel-3" is selected, please input the emission factor for the user-defined fuel in the 'Fuel used in pathway' table in the "EF Table" worksheet. The user-defined fuel must be reported with the unit of MJ.
</t>
        </r>
      </text>
    </comment>
    <comment ref="X27" authorId="0" shapeId="0" xr:uid="{FDB2C7EE-D3CD-4CFF-AB2D-70FEAB188563}">
      <text>
        <r>
          <rPr>
            <sz val="9"/>
            <color indexed="81"/>
            <rFont val="Tahoma"/>
            <family val="2"/>
          </rPr>
          <t>NMED:
If "User-Defined Fuel-1", "User-Defined Fuel-2", or "User-Defined Fuel-3" is selected, please input the emission factor for the user-defined fuel in the 'Fuel used in pathway' table in the "EF Table" worksheet. The user-defined fuel must be reported with the unit of MJ.</t>
        </r>
      </text>
    </comment>
    <comment ref="AE30" authorId="1" shapeId="0" xr:uid="{FBCB561F-60E6-4111-A7B9-F651D594B8B9}">
      <text>
        <r>
          <rPr>
            <sz val="9"/>
            <color indexed="81"/>
            <rFont val="Tahoma"/>
            <family val="2"/>
          </rPr>
          <t>NMED:
If pipeline transport serves multiple distribution routes in New Mexico, a weighted average distance may be calculated, the New Mexico centroid may be used, or the distance of the farthest route may be applied.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NMED</author>
    <author>Yu, Guo@ARB</author>
    <author>Andrew Beck</author>
  </authors>
  <commentList>
    <comment ref="D4" authorId="0" shapeId="0" xr:uid="{F6B00BFF-6008-47B9-9526-4EA2B68E613A}">
      <text>
        <r>
          <rPr>
            <sz val="9"/>
            <color indexed="81"/>
            <rFont val="Tahoma"/>
            <family val="2"/>
          </rPr>
          <t>Original external formula:_x000D_
=SUM('[NM-GREET_v1.0.xlsm]Electric'!$B$222:$C$222)/mmBtu2kWh</t>
        </r>
      </text>
    </comment>
    <comment ref="D5" authorId="1" shapeId="0" xr:uid="{44BB5E46-203C-468B-8E86-AB917ECEB05F}">
      <text>
        <r>
          <rPr>
            <sz val="9"/>
            <color indexed="81"/>
            <rFont val="Tahoma"/>
            <family val="2"/>
          </rPr>
          <t>NMED:
Input a user defined electricity emission factor here if applicable.</t>
        </r>
      </text>
    </comment>
    <comment ref="D6" authorId="0" shapeId="0" xr:uid="{48046632-2129-4C5A-A398-C0C15897CAF2}">
      <text>
        <r>
          <rPr>
            <sz val="9"/>
            <color indexed="81"/>
            <rFont val="Tahoma"/>
            <family val="2"/>
          </rPr>
          <t>Original external formula:_x000D_
=(GWP_VOC*'[NM-GREET_v1.0.xlsm]Generation_mixes'!D$56+
  GWP_CO*'[NM-GREET_v1.0.xlsm]Generation_mixes'!D$57+
  GWP_CH4*'[NM-GREET_v1.0.xlsm]Generation_mixes'!D$64+
  GWP_N2O*'[NM-GREET_v1.0.xlsm]Generation_mixes'!D$65+
  '[NM-GREET_v1.0.xlsm]Generation_mixes'!D$66)
/mmBtu2kWh</t>
        </r>
      </text>
    </comment>
    <comment ref="D7" authorId="0" shapeId="0" xr:uid="{C17C3FB9-A4BD-46B3-BA18-73A805C3AA59}">
      <text>
        <r>
          <rPr>
            <sz val="9"/>
            <color indexed="81"/>
            <rFont val="Tahoma"/>
            <family val="2"/>
          </rPr>
          <t>Original external formula:_x000D_
=(GWP_VOC*'[NM-GREET_v1.0.xlsm]Generation_mixes'!E$56+
  GWP_CO*'[NM-GREET_v1.0.xlsm]Generation_mixes'!E$57+
  GWP_CH4*'[NM-GREET_v1.0.xlsm]Generation_mixes'!E$64+
  GWP_N2O*'[NM-GREET_v1.0.xlsm]Generation_mixes'!E$65+
  '[NM-GREET_v1.0.xlsm]Generation_mixes'!E$66)
/mmBtu2kWh</t>
        </r>
      </text>
    </comment>
    <comment ref="D8" authorId="0" shapeId="0" xr:uid="{42F359E9-D7DD-4416-B964-8C9474F6344B}">
      <text>
        <r>
          <rPr>
            <sz val="9"/>
            <color indexed="81"/>
            <rFont val="Tahoma"/>
            <family val="2"/>
          </rPr>
          <t>Original external formula:_x000D_
=(GWP_VOC*'[NM-GREET_v1.0.xlsm]Generation_mixes'!F$56+
  GWP_CO*'[NM-GREET_v1.0.xlsm]Generation_mixes'!F$57+
  GWP_CH4*'[NM-GREET_v1.0.xlsm]Generation_mixes'!F$64+
  GWP_N2O*'[NM-GREET_v1.0.xlsm]Generation_mixes'!F$65+
  '[NM-GREET_v1.0.xlsm]Generation_mixes'!F$66)
/mmBtu2kWh</t>
        </r>
      </text>
    </comment>
    <comment ref="D9" authorId="0" shapeId="0" xr:uid="{45B241F6-E89E-4217-85BE-C903FAD89782}">
      <text>
        <r>
          <rPr>
            <sz val="9"/>
            <color indexed="81"/>
            <rFont val="Tahoma"/>
            <family val="2"/>
          </rPr>
          <t>Original external formula:_x000D_
=(GWP_VOC*'[NM-GREET_v1.0.xlsm]Generation_mixes'!G$56+
  GWP_CO*'[NM-GREET_v1.0.xlsm]Generation_mixes'!G$57+
  GWP_CH4*'[NM-GREET_v1.0.xlsm]Generation_mixes'!G$64+
  GWP_N2O*'[NM-GREET_v1.0.xlsm]Generation_mixes'!G$65+
  '[NM-GREET_v1.0.xlsm]Generation_mixes'!G$66)
/mmBtu2kWh</t>
        </r>
      </text>
    </comment>
    <comment ref="D10" authorId="0" shapeId="0" xr:uid="{82214134-A1D3-4538-A426-E5D5F29F38D0}">
      <text>
        <r>
          <rPr>
            <sz val="9"/>
            <color indexed="81"/>
            <rFont val="Tahoma"/>
            <family val="2"/>
          </rPr>
          <t>Original external formula:_x000D_
=(GWP_VOC*'[NM-GREET_v1.0.xlsm]Generation_mixes'!H$56+
  GWP_CO*'[NM-GREET_v1.0.xlsm]Generation_mixes'!H$57+
  GWP_CH4*'[NM-GREET_v1.0.xlsm]Generation_mixes'!H$64+
  GWP_N2O*'[NM-GREET_v1.0.xlsm]Generation_mixes'!H$65+
  '[NM-GREET_v1.0.xlsm]Generation_mixes'!H$66)
/mmBtu2kWh</t>
        </r>
      </text>
    </comment>
    <comment ref="D11" authorId="0" shapeId="0" xr:uid="{B7B97C8A-6A3E-4A97-B8A1-DAC81E71E39A}">
      <text>
        <r>
          <rPr>
            <sz val="9"/>
            <color indexed="81"/>
            <rFont val="Tahoma"/>
            <family val="2"/>
          </rPr>
          <t>Original external formula:_x000D_
=(GWP_VOC*'[NM-GREET_v1.0.xlsm]Generation_mixes'!I$56+
  GWP_CO*'[NM-GREET_v1.0.xlsm]Generation_mixes'!I$57+
  GWP_CH4*'[NM-GREET_v1.0.xlsm]Generation_mixes'!I$64+
  GWP_N2O*'[NM-GREET_v1.0.xlsm]Generation_mixes'!I$65+
  '[NM-GREET_v1.0.xlsm]Generation_mixes'!I$66)
/mmBtu2kWh</t>
        </r>
      </text>
    </comment>
    <comment ref="D12" authorId="0" shapeId="0" xr:uid="{D8BCB247-7C37-4F4A-9A02-CD6C91A6033C}">
      <text>
        <r>
          <rPr>
            <sz val="9"/>
            <color indexed="81"/>
            <rFont val="Tahoma"/>
            <family val="2"/>
          </rPr>
          <t>Original external formula:_x000D_
=(GWP_VOC*'[NM-GREET_v1.0.xlsm]Generation_mixes'!J$56+
  GWP_CO*'[NM-GREET_v1.0.xlsm]Generation_mixes'!J$57+
  GWP_CH4*'[NM-GREET_v1.0.xlsm]Generation_mixes'!J$64+
  GWP_N2O*'[NM-GREET_v1.0.xlsm]Generation_mixes'!J$65+
  '[NM-GREET_v1.0.xlsm]Generation_mixes'!J$66)
/mmBtu2kWh</t>
        </r>
      </text>
    </comment>
    <comment ref="D13" authorId="0" shapeId="0" xr:uid="{B49F658E-D5C4-4590-8021-59A56EB0BB07}">
      <text>
        <r>
          <rPr>
            <sz val="9"/>
            <color indexed="81"/>
            <rFont val="Tahoma"/>
            <family val="2"/>
          </rPr>
          <t>Original external formula:_x000D_
=(GWP_VOC*'[NM-GREET_v1.0.xlsm]Generation_mixes'!K$56+
  GWP_CO*'[NM-GREET_v1.0.xlsm]Generation_mixes'!K$57+
  GWP_CH4*'[NM-GREET_v1.0.xlsm]Generation_mixes'!K$64+
  GWP_N2O*'[NM-GREET_v1.0.xlsm]Generation_mixes'!K$65+
  '[NM-GREET_v1.0.xlsm]Generation_mixes'!K$66)
/mmBtu2kWh</t>
        </r>
      </text>
    </comment>
    <comment ref="D14" authorId="0" shapeId="0" xr:uid="{412E6A6B-A1DB-4489-8924-7737F2203383}">
      <text>
        <r>
          <rPr>
            <sz val="9"/>
            <color indexed="81"/>
            <rFont val="Tahoma"/>
            <family val="2"/>
          </rPr>
          <t>Original external formula:_x000D_
=(GWP_VOC*'[NM-GREET_v1.0.xlsm]Generation_mixes'!L$56+
  GWP_CO*'[NM-GREET_v1.0.xlsm]Generation_mixes'!L$57+
  GWP_CH4*'[NM-GREET_v1.0.xlsm]Generation_mixes'!L$64+
  GWP_N2O*'[NM-GREET_v1.0.xlsm]Generation_mixes'!L$65+
  '[NM-GREET_v1.0.xlsm]Generation_mixes'!L$66)
/mmBtu2kWh</t>
        </r>
      </text>
    </comment>
    <comment ref="D15" authorId="0" shapeId="0" xr:uid="{83DD5DD2-84DB-42B6-B04F-564BF3488999}">
      <text>
        <r>
          <rPr>
            <sz val="9"/>
            <color indexed="81"/>
            <rFont val="Tahoma"/>
            <family val="2"/>
          </rPr>
          <t>Original external formula:_x000D_
=(GWP_VOC*'[NM-GREET_v1.0.xlsm]Generation_mixes'!M$56+
  GWP_CO*'[NM-GREET_v1.0.xlsm]Generation_mixes'!M$57+
  GWP_CH4*'[NM-GREET_v1.0.xlsm]Generation_mixes'!M$64+
  GWP_N2O*'[NM-GREET_v1.0.xlsm]Generation_mixes'!M$65+
  '[NM-GREET_v1.0.xlsm]Generation_mixes'!M$66)
/mmBtu2kWh</t>
        </r>
      </text>
    </comment>
    <comment ref="D16" authorId="0" shapeId="0" xr:uid="{97D175DA-83AF-4123-B5B4-40610054E993}">
      <text>
        <r>
          <rPr>
            <sz val="9"/>
            <color indexed="81"/>
            <rFont val="Tahoma"/>
            <family val="2"/>
          </rPr>
          <t>Original external formula:_x000D_
=(GWP_VOC*'[NM-GREET_v1.0.xlsm]Generation_mixes'!N$56+
  GWP_CO*'[NM-GREET_v1.0.xlsm]Generation_mixes'!N$57+
  GWP_CH4*'[NM-GREET_v1.0.xlsm]Generation_mixes'!N$64+
  GWP_N2O*'[NM-GREET_v1.0.xlsm]Generation_mixes'!N$65+
  '[NM-GREET_v1.0.xlsm]Generation_mixes'!N$66)
/mmBtu2kWh</t>
        </r>
      </text>
    </comment>
    <comment ref="D17" authorId="0" shapeId="0" xr:uid="{BC824CDD-DC78-441F-A411-F858D58AE328}">
      <text>
        <r>
          <rPr>
            <sz val="9"/>
            <color indexed="81"/>
            <rFont val="Tahoma"/>
            <family val="2"/>
          </rPr>
          <t>Original external formula:_x000D_
=(GWP_VOC*'[NM-GREET_v1.0.xlsm]Generation_mixes'!O$56+
  GWP_CO*'[NM-GREET_v1.0.xlsm]Generation_mixes'!O$57+
  GWP_CH4*'[NM-GREET_v1.0.xlsm]Generation_mixes'!O$64+
  GWP_N2O*'[NM-GREET_v1.0.xlsm]Generation_mixes'!O$65+
  '[NM-GREET_v1.0.xlsm]Generation_mixes'!O$66)
/mmBtu2kWh</t>
        </r>
      </text>
    </comment>
    <comment ref="O17" authorId="2" shapeId="0" xr:uid="{7035B327-6B28-4C0D-9AE6-09023BB2D75F}">
      <text>
        <r>
          <rPr>
            <sz val="9"/>
            <color indexed="81"/>
            <rFont val="Tahoma"/>
            <family val="2"/>
          </rPr>
          <t>NMED:
In this calculator, gaseous fuels have a reference state of (60F, 1 atm), so as to align with CA-GREET’s LOP equations. 
In NM-GREET and R&amp;D GREET, gaseous fuels have a different reference state of (32F, 1 atm).
To ensure background LCI data from NM-GREET is compatible with this calculator, volumetric units are generally avoided, and only fractions (i.e., "%volume") are treated as interchangeable.</t>
        </r>
      </text>
    </comment>
    <comment ref="D18" authorId="0" shapeId="0" xr:uid="{BCBAAC36-43DB-4E35-A930-E34CE742B02A}">
      <text>
        <r>
          <rPr>
            <sz val="9"/>
            <color indexed="81"/>
            <rFont val="Tahoma"/>
            <family val="2"/>
          </rPr>
          <t>Original external formula:_x000D_
=(GWP_VOC*'[NM-GREET_v1.0.xlsm]Generation_mixes'!P$56+
  GWP_CO*'[NM-GREET_v1.0.xlsm]Generation_mixes'!P$57+
  GWP_CH4*'[NM-GREET_v1.0.xlsm]Generation_mixes'!P$64+
  GWP_N2O*'[NM-GREET_v1.0.xlsm]Generation_mixes'!P$65+
  '[NM-GREET_v1.0.xlsm]Generation_mixes'!P$66)
/mmBtu2kWh</t>
        </r>
      </text>
    </comment>
    <comment ref="D19" authorId="0" shapeId="0" xr:uid="{1BA177DB-2E2C-4E8A-8AE8-B74AB05782D1}">
      <text>
        <r>
          <rPr>
            <sz val="9"/>
            <color indexed="81"/>
            <rFont val="Tahoma"/>
            <family val="2"/>
          </rPr>
          <t>Original external formula:_x000D_
=(GWP_VOC*'[NM-GREET_v1.0.xlsm]Generation_mixes'!Q$56+
  GWP_CO*'[NM-GREET_v1.0.xlsm]Generation_mixes'!Q$57+
  GWP_CH4*'[NM-GREET_v1.0.xlsm]Generation_mixes'!Q$64+
  GWP_N2O*'[NM-GREET_v1.0.xlsm]Generation_mixes'!Q$65+
  '[NM-GREET_v1.0.xlsm]Generation_mixes'!Q$66)
/mmBtu2kWh</t>
        </r>
      </text>
    </comment>
    <comment ref="D20" authorId="0" shapeId="0" xr:uid="{14D0100C-B09C-4D19-917B-1B7202954165}">
      <text>
        <r>
          <rPr>
            <sz val="9"/>
            <color indexed="81"/>
            <rFont val="Tahoma"/>
            <family val="2"/>
          </rPr>
          <t>Original external formula:_x000D_
=(GWP_VOC*'[NM-GREET_v1.0.xlsm]Generation_mixes'!R$56+
  GWP_CO*'[NM-GREET_v1.0.xlsm]Generation_mixes'!R$57+
  GWP_CH4*'[NM-GREET_v1.0.xlsm]Generation_mixes'!R$64+
  GWP_N2O*'[NM-GREET_v1.0.xlsm]Generation_mixes'!R$65+
  '[NM-GREET_v1.0.xlsm]Generation_mixes'!R$66)
/mmBtu2kWh</t>
        </r>
      </text>
    </comment>
    <comment ref="D21" authorId="0" shapeId="0" xr:uid="{132A7551-58A5-49F0-A5F1-D540C514AB0C}">
      <text>
        <r>
          <rPr>
            <sz val="9"/>
            <color indexed="81"/>
            <rFont val="Tahoma"/>
            <family val="2"/>
          </rPr>
          <t>Original external formula:_x000D_
=(GWP_VOC*'[NM-GREET_v1.0.xlsm]Generation_mixes'!S$56+
  GWP_CO*'[NM-GREET_v1.0.xlsm]Generation_mixes'!S$57+
  GWP_CH4*'[NM-GREET_v1.0.xlsm]Generation_mixes'!S$64+
  GWP_N2O*'[NM-GREET_v1.0.xlsm]Generation_mixes'!S$65+
  '[NM-GREET_v1.0.xlsm]Generation_mixes'!S$66)
/mmBtu2kWh</t>
        </r>
      </text>
    </comment>
    <comment ref="D22" authorId="0" shapeId="0" xr:uid="{3B1472A5-20AF-477D-8557-A05CC7D20160}">
      <text>
        <r>
          <rPr>
            <sz val="9"/>
            <color indexed="81"/>
            <rFont val="Tahoma"/>
            <family val="2"/>
          </rPr>
          <t>Original external formula:_x000D_
=(GWP_VOC*'[NM-GREET_v1.0.xlsm]Generation_mixes'!T$56+
  GWP_CO*'[NM-GREET_v1.0.xlsm]Generation_mixes'!T$57+
  GWP_CH4*'[NM-GREET_v1.0.xlsm]Generation_mixes'!T$64+
  GWP_N2O*'[NM-GREET_v1.0.xlsm]Generation_mixes'!T$65+
  '[NM-GREET_v1.0.xlsm]Generation_mixes'!T$66)
/mmBtu2kWh</t>
        </r>
      </text>
    </comment>
    <comment ref="D23" authorId="0" shapeId="0" xr:uid="{4DCD4ED6-AFCF-467A-A505-3F1F16990F4B}">
      <text>
        <r>
          <rPr>
            <sz val="9"/>
            <color indexed="81"/>
            <rFont val="Tahoma"/>
            <family val="2"/>
          </rPr>
          <t>Original external formula:_x000D_
=(GWP_VOC*'[NM-GREET_v1.0.xlsm]Generation_mixes'!U$56+
  GWP_CO*'[NM-GREET_v1.0.xlsm]Generation_mixes'!U$57+
  GWP_CH4*'[NM-GREET_v1.0.xlsm]Generation_mixes'!U$64+
  GWP_N2O*'[NM-GREET_v1.0.xlsm]Generation_mixes'!U$65+
  '[NM-GREET_v1.0.xlsm]Generation_mixes'!U$66)
/mmBtu2kWh</t>
        </r>
      </text>
    </comment>
    <comment ref="D24" authorId="0" shapeId="0" xr:uid="{A8C7FD65-6C3F-40B9-923A-D91B639A1654}">
      <text>
        <r>
          <rPr>
            <sz val="9"/>
            <color indexed="81"/>
            <rFont val="Tahoma"/>
            <family val="2"/>
          </rPr>
          <t>Original external formula:_x000D_
=(GWP_VOC*'[NM-GREET_v1.0.xlsm]Generation_mixes'!V$56+
  GWP_CO*'[NM-GREET_v1.0.xlsm]Generation_mixes'!V$57+
  GWP_CH4*'[NM-GREET_v1.0.xlsm]Generation_mixes'!V$64+
  GWP_N2O*'[NM-GREET_v1.0.xlsm]Generation_mixes'!V$65+
  '[NM-GREET_v1.0.xlsm]Generation_mixes'!V$66)
/mmBtu2kWh</t>
        </r>
      </text>
    </comment>
    <comment ref="D25" authorId="0" shapeId="0" xr:uid="{EB165EA5-7FC6-44D2-86AB-919B1DFAC3D9}">
      <text>
        <r>
          <rPr>
            <sz val="9"/>
            <color indexed="81"/>
            <rFont val="Tahoma"/>
            <family val="2"/>
          </rPr>
          <t>Original external formula:_x000D_
=(GWP_VOC*'[NM-GREET_v1.0.xlsm]Generation_mixes'!W$56+
  GWP_CO*'[NM-GREET_v1.0.xlsm]Generation_mixes'!W$57+
  GWP_CH4*'[NM-GREET_v1.0.xlsm]Generation_mixes'!W$64+
  GWP_N2O*'[NM-GREET_v1.0.xlsm]Generation_mixes'!W$65+
  '[NM-GREET_v1.0.xlsm]Generation_mixes'!W$66)
/mmBtu2kWh</t>
        </r>
      </text>
    </comment>
    <comment ref="D26" authorId="0" shapeId="0" xr:uid="{7F8E25C3-D923-4094-8B55-F225C54690F7}">
      <text>
        <r>
          <rPr>
            <sz val="9"/>
            <color indexed="81"/>
            <rFont val="Tahoma"/>
            <family val="2"/>
          </rPr>
          <t>Original external formula:_x000D_
=(GWP_VOC*'[NM-GREET_v1.0.xlsm]Generation_mixes'!X$56+
  GWP_CO*'[NM-GREET_v1.0.xlsm]Generation_mixes'!X$57+
  GWP_CH4*'[NM-GREET_v1.0.xlsm]Generation_mixes'!X$64+
  GWP_N2O*'[NM-GREET_v1.0.xlsm]Generation_mixes'!X$65+
  '[NM-GREET_v1.0.xlsm]Generation_mixes'!X$66)
/mmBtu2kWh</t>
        </r>
      </text>
    </comment>
    <comment ref="D27" authorId="0" shapeId="0" xr:uid="{35CB85C3-2945-4C1D-8850-120760817B58}">
      <text>
        <r>
          <rPr>
            <sz val="9"/>
            <color indexed="81"/>
            <rFont val="Tahoma"/>
            <family val="2"/>
          </rPr>
          <t>Original external formula:_x000D_
=(GWP_VOC*'[NM-GREET_v1.0.xlsm]Generation_mixes'!Y$56+
  GWP_CO*'[NM-GREET_v1.0.xlsm]Generation_mixes'!Y$57+
  GWP_CH4*'[NM-GREET_v1.0.xlsm]Generation_mixes'!Y$64+
  GWP_N2O*'[NM-GREET_v1.0.xlsm]Generation_mixes'!Y$65+
  '[NM-GREET_v1.0.xlsm]Generation_mixes'!Y$66)
/mmBtu2kWh</t>
        </r>
      </text>
    </comment>
    <comment ref="D28" authorId="0" shapeId="0" xr:uid="{8BA52AF0-1247-4E71-B4BC-B9B074F6E4B0}">
      <text>
        <r>
          <rPr>
            <sz val="9"/>
            <color indexed="81"/>
            <rFont val="Tahoma"/>
            <family val="2"/>
          </rPr>
          <t>Original external formula:_x000D_
=(GWP_VOC*'[NM-GREET_v1.0.xlsm]Generation_mixes'!Z$56+
  GWP_CO*'[NM-GREET_v1.0.xlsm]Generation_mixes'!Z$57+
  GWP_CH4*'[NM-GREET_v1.0.xlsm]Generation_mixes'!Z$64+
  GWP_N2O*'[NM-GREET_v1.0.xlsm]Generation_mixes'!Z$65+
  '[NM-GREET_v1.0.xlsm]Generation_mixes'!Z$66)
/mmBtu2kWh</t>
        </r>
      </text>
    </comment>
    <comment ref="D29" authorId="0" shapeId="0" xr:uid="{87DF22D1-B360-41B4-A715-5D892BD9F764}">
      <text>
        <r>
          <rPr>
            <sz val="9"/>
            <color indexed="81"/>
            <rFont val="Tahoma"/>
            <family val="2"/>
          </rPr>
          <t>Original external formula:_x000D_
=(GWP_VOC*'[NM-GREET_v1.0.xlsm]Generation_mixes'!AA$56+
  GWP_CO*'[NM-GREET_v1.0.xlsm]Generation_mixes'!AA$57+
  GWP_CH4*'[NM-GREET_v1.0.xlsm]Generation_mixes'!AA$64+
  GWP_N2O*'[NM-GREET_v1.0.xlsm]Generation_mixes'!AA$65+
  '[NM-GREET_v1.0.xlsm]Generation_mixes'!AA$66)
/mmBtu2kWh</t>
        </r>
      </text>
    </comment>
    <comment ref="D30" authorId="0" shapeId="0" xr:uid="{2BD72A6A-A8DA-4839-B9A6-FD513301B6B0}">
      <text>
        <r>
          <rPr>
            <sz val="9"/>
            <color indexed="81"/>
            <rFont val="Tahoma"/>
            <family val="2"/>
          </rPr>
          <t>Original external formula:_x000D_
=(GWP_VOC*'[NM-GREET_v1.0.xlsm]Generation_mixes'!AB$56+
  GWP_CO*'[NM-GREET_v1.0.xlsm]Generation_mixes'!AB$57+
  GWP_CH4*'[NM-GREET_v1.0.xlsm]Generation_mixes'!AB$64+
  GWP_N2O*'[NM-GREET_v1.0.xlsm]Generation_mixes'!AB$65+
  '[NM-GREET_v1.0.xlsm]Generation_mixes'!AB$66)
/mmBtu2kWh</t>
        </r>
      </text>
    </comment>
    <comment ref="D31" authorId="0" shapeId="0" xr:uid="{BE7059DD-1144-413C-9D9F-C9D64DCDDFD9}">
      <text>
        <r>
          <rPr>
            <sz val="9"/>
            <color indexed="81"/>
            <rFont val="Tahoma"/>
            <family val="2"/>
          </rPr>
          <t>Original external formula:_x000D_
=(GWP_VOC*'[NM-GREET_v1.0.xlsm]Generation_mixes'!AC$56+
  GWP_CO*'[NM-GREET_v1.0.xlsm]Generation_mixes'!AC$57+
  GWP_CH4*'[NM-GREET_v1.0.xlsm]Generation_mixes'!AC$64+
  GWP_N2O*'[NM-GREET_v1.0.xlsm]Generation_mixes'!AC$65+
  '[NM-GREET_v1.0.xlsm]Generation_mixes'!AC$66)
/mmBtu2kWh</t>
        </r>
      </text>
    </comment>
    <comment ref="D32" authorId="0" shapeId="0" xr:uid="{2835D877-0FA5-4928-8B7F-E01458868D93}">
      <text>
        <r>
          <rPr>
            <sz val="9"/>
            <color indexed="81"/>
            <rFont val="Tahoma"/>
            <family val="2"/>
          </rPr>
          <t>Original external formula:_x000D_
=(GWP_VOC*'[NM-GREET_v1.0.xlsm]Generation_mixes'!AD$56+
  GWP_CO*'[NM-GREET_v1.0.xlsm]Generation_mixes'!AD$57+
  GWP_CH4*'[NM-GREET_v1.0.xlsm]Generation_mixes'!AD$64+
  GWP_N2O*'[NM-GREET_v1.0.xlsm]Generation_mixes'!AD$65+
  '[NM-GREET_v1.0.xlsm]Generation_mixes'!AD$66)
/mmBtu2kWh</t>
        </r>
      </text>
    </comment>
    <comment ref="D36" authorId="0" shapeId="0" xr:uid="{857B42EB-905F-4AAE-A693-EF1F878ADB39}">
      <text>
        <r>
          <rPr>
            <sz val="9"/>
            <color indexed="81"/>
            <rFont val="Tahoma"/>
            <family val="2"/>
          </rPr>
          <t>Original external formula:_x000D_
=('NM-GREET_v1.0.xlsm'!NG_Conventional_Supply_Share*'[NM-GREET_v1.0.xlsm]Inputs'!$G$134+
  'NM-GREET_v1.0.xlsm'!NG_NASG_NANG_Supply_Share*'[NM-GREET_v1.0.xlsm]Inputs'!$H$134)
/680</t>
        </r>
      </text>
    </comment>
    <comment ref="H37" authorId="0" shapeId="0" xr:uid="{3FB62252-2ED1-4008-83A9-88F821907FC7}">
      <text>
        <r>
          <rPr>
            <sz val="9"/>
            <color indexed="81"/>
            <rFont val="Tahoma"/>
            <family val="2"/>
          </rPr>
          <t>Original external formula:_x000D_
='[NM-GREET_v1.0.xlsm]EF'!$BI$6</t>
        </r>
      </text>
    </comment>
    <comment ref="J37" authorId="0" shapeId="0" xr:uid="{12202D0C-E004-428B-A3D5-F98F6A7B9037}">
      <text>
        <r>
          <rPr>
            <sz val="9"/>
            <color indexed="81"/>
            <rFont val="Tahoma"/>
            <family val="2"/>
          </rPr>
          <t>Original external formula:_x000D_
='[NM-GREET_v1.0.xlsm]Results_NM'!$AW10</t>
        </r>
      </text>
    </comment>
    <comment ref="K37" authorId="0" shapeId="0" xr:uid="{A1E9A4CD-FF65-4E36-844F-9AFA4418D0BE}">
      <text>
        <r>
          <rPr>
            <sz val="9"/>
            <color indexed="81"/>
            <rFont val="Tahoma"/>
            <family val="2"/>
          </rPr>
          <t>Original external formula:_x000D_
='[NM-GREET_v1.0.xlsm]EF'!$BH6</t>
        </r>
      </text>
    </comment>
    <comment ref="D38" authorId="0" shapeId="0" xr:uid="{5DDD8EED-283B-4B6D-86F3-EF00498DCFA7}">
      <text>
        <r>
          <rPr>
            <sz val="9"/>
            <color indexed="81"/>
            <rFont val="Tahoma"/>
            <family val="2"/>
          </rPr>
          <t>Original external formula:_x000D_
=(GWP_VOC*'[NM-GREET_v1.0.xlsm]T&amp;D'!$CS$138+
  GWP_CO*'[NM-GREET_v1.0.xlsm]T&amp;D'!$CS$139+
  GWP_CH4*'[NM-GREET_v1.0.xlsm]T&amp;D'!$CS$146+
  GWP_N2O*'[NM-GREET_v1.0.xlsm]T&amp;D'!$CS$147+
  '[NM-GREET_v1.0.xlsm]T&amp;D'!$CS$148)/
'[NM-GREET_v1.0.xlsm]T&amp;D'!$CS$112</t>
        </r>
      </text>
    </comment>
    <comment ref="H38" authorId="0" shapeId="0" xr:uid="{28DBB530-7C8D-465E-940D-32CB7F008356}">
      <text>
        <r>
          <rPr>
            <sz val="9"/>
            <color indexed="81"/>
            <rFont val="Tahoma"/>
            <family val="2"/>
          </rPr>
          <t>Original external formula:_x000D_
='[NM-GREET_v1.0.xlsm]EF'!$BI$7</t>
        </r>
      </text>
    </comment>
    <comment ref="J38" authorId="0" shapeId="0" xr:uid="{5FBCECD6-1F73-450D-9884-48A1103C842A}">
      <text>
        <r>
          <rPr>
            <sz val="9"/>
            <color indexed="81"/>
            <rFont val="Tahoma"/>
            <family val="2"/>
          </rPr>
          <t>Original external formula:_x000D_
='[NM-GREET_v1.0.xlsm]Results_NM'!$AW11</t>
        </r>
      </text>
    </comment>
    <comment ref="K38" authorId="0" shapeId="0" xr:uid="{DF6C17E4-327F-4638-BF4A-E2B254A72394}">
      <text>
        <r>
          <rPr>
            <sz val="9"/>
            <color indexed="81"/>
            <rFont val="Tahoma"/>
            <family val="2"/>
          </rPr>
          <t>Original external formula:_x000D_
='[NM-GREET_v1.0.xlsm]EF'!$BH7</t>
        </r>
      </text>
    </comment>
    <comment ref="H39" authorId="0" shapeId="0" xr:uid="{CF66E5E5-8EAA-49C2-811A-1F1F30C549B7}">
      <text>
        <r>
          <rPr>
            <sz val="9"/>
            <color indexed="81"/>
            <rFont val="Tahoma"/>
            <family val="2"/>
          </rPr>
          <t>Original external formula:_x000D_
='[NM-GREET_v1.0.xlsm]EF'!$BI$14</t>
        </r>
      </text>
    </comment>
    <comment ref="J39" authorId="0" shapeId="0" xr:uid="{15F991CA-82D2-4FB9-A131-5599E239EB3E}">
      <text>
        <r>
          <rPr>
            <sz val="9"/>
            <color indexed="81"/>
            <rFont val="Tahoma"/>
            <family val="2"/>
          </rPr>
          <t>Original external formula:_x000D_
='[NM-GREET_v1.0.xlsm]Results_NM'!$AW12</t>
        </r>
      </text>
    </comment>
    <comment ref="K39" authorId="0" shapeId="0" xr:uid="{0840DE95-1802-4D9D-BF19-5507D38A1C72}">
      <text>
        <r>
          <rPr>
            <sz val="9"/>
            <color indexed="81"/>
            <rFont val="Tahoma"/>
            <family val="2"/>
          </rPr>
          <t>Original external formula:_x000D_
='[NM-GREET_v1.0.xlsm]EF'!$BH14</t>
        </r>
      </text>
    </comment>
    <comment ref="D40" authorId="2" shapeId="0" xr:uid="{7AE677BE-6452-4731-BC80-1B76D906C2F3}">
      <text>
        <r>
          <rPr>
            <sz val="9"/>
            <color indexed="81"/>
            <rFont val="Tahoma"/>
            <family val="2"/>
          </rPr>
          <t>NMED:
R&amp;D GREET includes LNG boil-off estimates in % per day; assume 60 mph average truck speed to convert days to miles</t>
        </r>
      </text>
    </comment>
    <comment ref="H40" authorId="0" shapeId="0" xr:uid="{B264AD6C-C948-467B-BAB9-6C4373ADD229}">
      <text>
        <r>
          <rPr>
            <sz val="9"/>
            <color indexed="81"/>
            <rFont val="Tahoma"/>
            <family val="2"/>
          </rPr>
          <t>Original external formula:_x000D_
='[NM-GREET_v1.0.xlsm]EF'!$BI$15</t>
        </r>
      </text>
    </comment>
    <comment ref="J40" authorId="0" shapeId="0" xr:uid="{9CC5FF6E-FFFB-43D6-9493-5BB8667A3FDF}">
      <text>
        <r>
          <rPr>
            <sz val="9"/>
            <color indexed="81"/>
            <rFont val="Tahoma"/>
            <family val="2"/>
          </rPr>
          <t>Original external formula:_x000D_
='[NM-GREET_v1.0.xlsm]Results_NM'!$AW13</t>
        </r>
      </text>
    </comment>
    <comment ref="K40" authorId="0" shapeId="0" xr:uid="{5FDEEBD1-50E5-4F00-BE53-9369262C6C93}">
      <text>
        <r>
          <rPr>
            <sz val="9"/>
            <color indexed="81"/>
            <rFont val="Tahoma"/>
            <family val="2"/>
          </rPr>
          <t>Original external formula:_x000D_
='[NM-GREET_v1.0.xlsm]EF'!$BH15</t>
        </r>
      </text>
    </comment>
    <comment ref="D41" authorId="0" shapeId="0" xr:uid="{EBE31F84-0540-4A2E-AB6D-789D159C082A}">
      <text>
        <r>
          <rPr>
            <sz val="9"/>
            <color indexed="81"/>
            <rFont val="Tahoma"/>
            <family val="2"/>
          </rPr>
          <t>Original external formula:_x000D_
=('[NM-GREET_v1.0.xlsm]Inputs'!J318*'[NM-GREET_v1.0.xlsm]Inputs'!J321/(1-'[NM-GREET_v1.0.xlsm]Inputs'!J318*'[NM-GREET_v1.0.xlsm]Inputs'!J321))+
(15.67+13.43+11.19+2.24+11.19+2.24)*(LHV_LNG*Btu2mmBtu)/density_LNG</t>
        </r>
      </text>
    </comment>
    <comment ref="H41" authorId="0" shapeId="0" xr:uid="{17D7F601-DC3E-467C-A346-7AE670F5B805}">
      <text>
        <r>
          <rPr>
            <sz val="9"/>
            <color indexed="81"/>
            <rFont val="Tahoma"/>
            <family val="2"/>
          </rPr>
          <t>Original external formula:_x000D_
='[NM-GREET_v1.0.xlsm]EF'!$BI$16</t>
        </r>
      </text>
    </comment>
    <comment ref="J41" authorId="0" shapeId="0" xr:uid="{57373D31-7FBE-47BF-8E7C-2624EA3354FD}">
      <text>
        <r>
          <rPr>
            <sz val="9"/>
            <color indexed="81"/>
            <rFont val="Tahoma"/>
            <family val="2"/>
          </rPr>
          <t>Original external formula:_x000D_
='[NM-GREET_v1.0.xlsm]Results_NM'!$AW14</t>
        </r>
      </text>
    </comment>
    <comment ref="K41" authorId="0" shapeId="0" xr:uid="{ACB70A04-DE24-4E14-9523-A94E131BDA06}">
      <text>
        <r>
          <rPr>
            <sz val="9"/>
            <color indexed="81"/>
            <rFont val="Tahoma"/>
            <family val="2"/>
          </rPr>
          <t>Original external formula:_x000D_
='[NM-GREET_v1.0.xlsm]EF'!$BH16</t>
        </r>
      </text>
    </comment>
    <comment ref="D42" authorId="0" shapeId="0" xr:uid="{D9DB3217-E031-4BAB-BDCC-6ED13515DDEC}">
      <text>
        <r>
          <rPr>
            <sz val="9"/>
            <color indexed="81"/>
            <rFont val="Tahoma"/>
            <family val="2"/>
          </rPr>
          <t>Original external formula:_x000D_
='[NM-GREET_v1.0.xlsm]NG'!$K$103/mmBtu2MJ</t>
        </r>
      </text>
    </comment>
    <comment ref="J42" authorId="0" shapeId="0" xr:uid="{08BB23F9-5AE5-4C86-8A1C-FBD904151EB6}">
      <text>
        <r>
          <rPr>
            <sz val="9"/>
            <color indexed="81"/>
            <rFont val="Tahoma"/>
            <family val="2"/>
          </rPr>
          <t>Original external formula:_x000D_
='[NM-GREET_v1.0.xlsm]Results_NM'!$AW17</t>
        </r>
      </text>
    </comment>
    <comment ref="J43" authorId="0" shapeId="0" xr:uid="{B3093F06-02AA-47CD-B122-A3E59E38D38B}">
      <text>
        <r>
          <rPr>
            <sz val="9"/>
            <color indexed="81"/>
            <rFont val="Tahoma"/>
            <family val="2"/>
          </rPr>
          <t>Original external formula:_x000D_
='[NM-GREET_v1.0.xlsm]Results_NM'!$AW16</t>
        </r>
      </text>
    </comment>
    <comment ref="K44" authorId="0" shapeId="0" xr:uid="{50708E25-1256-41C8-AE30-EF8A39333355}">
      <text>
        <r>
          <rPr>
            <sz val="9"/>
            <color indexed="81"/>
            <rFont val="Tahoma"/>
            <family val="2"/>
          </rPr>
          <t>Original external formula:_x000D_
=K43/mmBtu2kWh/'[NM-GREET_v1.0.xlsm]RNG'!$F$14</t>
        </r>
      </text>
    </comment>
    <comment ref="D49" authorId="0" shapeId="0" xr:uid="{A88CB36B-D978-4262-8504-F9F2A6C0578E}">
      <text>
        <r>
          <rPr>
            <sz val="9"/>
            <color indexed="81"/>
            <rFont val="Tahoma"/>
            <family val="2"/>
          </rPr>
          <t>Original external formula:_x000D_
=(SUM('[NM-GREET_v1.0.xlsm]Results_NM'!$P$16:$Q$16)+
  ('[NM-GREET_v1.0.xlsm]EF'!R6*GWP_VOC+
   '[NM-GREET_v1.0.xlsm]EF'!R7*GWP_CO+
   '[NM-GREET_v1.0.xlsm]EF'!R14*GWP_CH4+
   '[NM-GREET_v1.0.xlsm]EF'!R15*GWP_N2O+
   '[NM-GREET_v1.0.xlsm]EF'!R16)/mmBtu2MJ
)/MJ2Btu*LHV_diesel</t>
        </r>
      </text>
    </comment>
    <comment ref="H49" authorId="0" shapeId="0" xr:uid="{FC115296-4F75-448F-BA0B-028BD7408028}">
      <text>
        <r>
          <rPr>
            <sz val="9"/>
            <color indexed="81"/>
            <rFont val="Tahoma"/>
            <family val="2"/>
          </rPr>
          <t>Original external formula:_x000D_
=('[NM-GREET_v1.0.xlsm]NG'!B56*'[NM-GREET_v1.0.xlsm]Inputs'!$F$120*'[NM-GREET_v1.0.xlsm]NG'!$C$25+
  '[NM-GREET_v1.0.xlsm]NG'!E56*'[NM-GREET_v1.0.xlsm]Inputs'!$F$121*'[NM-GREET_v1.0.xlsm]NG'!$F$25
)*'[NM-GREET_v1.0.xlsm]NG'!$H$25</t>
        </r>
      </text>
    </comment>
    <comment ref="I49" authorId="0" shapeId="0" xr:uid="{54802E13-741E-4B1D-B74B-700FB78759DF}">
      <text>
        <r>
          <rPr>
            <sz val="9"/>
            <color indexed="81"/>
            <rFont val="Tahoma"/>
            <family val="2"/>
          </rPr>
          <t>Original external formula:_x000D_
=(SUM('[NM-GREET_v1.0.xlsm]NG'!C56:D56)*'[NM-GREET_v1.0.xlsm]Inputs'!$F$120+
  SUM('[NM-GREET_v1.0.xlsm]NG'!F56:G56)*'[NM-GREET_v1.0.xlsm]Inputs'!$F$121
)*'[NM-GREET_v1.0.xlsm]NG'!$H$25</t>
        </r>
      </text>
    </comment>
    <comment ref="J49" authorId="0" shapeId="0" xr:uid="{694848BB-2E67-4EEF-AC88-08C0F35185F7}">
      <text>
        <r>
          <rPr>
            <sz val="9"/>
            <color indexed="81"/>
            <rFont val="Tahoma"/>
            <family val="2"/>
          </rPr>
          <t>Original external formula:_x000D_
='[NM-GREET_v1.0.xlsm]NG'!H56</t>
        </r>
      </text>
    </comment>
    <comment ref="K49" authorId="0" shapeId="0" xr:uid="{A39271F0-9AF0-43C1-B9F1-A74F936709BC}">
      <text>
        <r>
          <rPr>
            <sz val="9"/>
            <color indexed="81"/>
            <rFont val="Tahoma"/>
            <family val="2"/>
          </rPr>
          <t>Original external formula:_x000D_
='[NM-GREET_v1.0.xlsm]EF'!$H$6</t>
        </r>
      </text>
    </comment>
    <comment ref="L49" authorId="0" shapeId="0" xr:uid="{45C7DEB3-009A-43CF-B20F-8136870464C9}">
      <text>
        <r>
          <rPr>
            <sz val="9"/>
            <color indexed="81"/>
            <rFont val="Tahoma"/>
            <family val="2"/>
          </rPr>
          <t>Original external formula:_x000D_
='[NM-GREET_v1.0.xlsm]EF'!$C$6</t>
        </r>
      </text>
    </comment>
    <comment ref="H50" authorId="0" shapeId="0" xr:uid="{B501D9EB-5731-4F96-835F-6741B18C9D7C}">
      <text>
        <r>
          <rPr>
            <sz val="9"/>
            <color indexed="81"/>
            <rFont val="Tahoma"/>
            <family val="2"/>
          </rPr>
          <t>Original external formula:_x000D_
=('[NM-GREET_v1.0.xlsm]NG'!B57*'[NM-GREET_v1.0.xlsm]Inputs'!$F$120*'[NM-GREET_v1.0.xlsm]NG'!$C$25+
  '[NM-GREET_v1.0.xlsm]NG'!E57*'[NM-GREET_v1.0.xlsm]Inputs'!$F$121*'[NM-GREET_v1.0.xlsm]NG'!$F$25
)*'[NM-GREET_v1.0.xlsm]NG'!$H$25</t>
        </r>
      </text>
    </comment>
    <comment ref="I50" authorId="0" shapeId="0" xr:uid="{D0D05E80-452B-4919-B2FA-F136AA86118B}">
      <text>
        <r>
          <rPr>
            <sz val="9"/>
            <color indexed="81"/>
            <rFont val="Tahoma"/>
            <family val="2"/>
          </rPr>
          <t>Original external formula:_x000D_
=(SUM('[NM-GREET_v1.0.xlsm]NG'!C57:D57)*'[NM-GREET_v1.0.xlsm]Inputs'!$F$120+
  SUM('[NM-GREET_v1.0.xlsm]NG'!F57:G57)*'[NM-GREET_v1.0.xlsm]Inputs'!$F$121
)*'[NM-GREET_v1.0.xlsm]NG'!$H$25</t>
        </r>
      </text>
    </comment>
    <comment ref="J50" authorId="0" shapeId="0" xr:uid="{AE344380-6FBD-4648-B4F4-FD12722B76E1}">
      <text>
        <r>
          <rPr>
            <sz val="9"/>
            <color indexed="81"/>
            <rFont val="Tahoma"/>
            <family val="2"/>
          </rPr>
          <t>Original external formula:_x000D_
='[NM-GREET_v1.0.xlsm]NG'!H57</t>
        </r>
      </text>
    </comment>
    <comment ref="K50" authorId="0" shapeId="0" xr:uid="{47199DF7-9FF4-4140-8A56-D7052B8B9DE1}">
      <text>
        <r>
          <rPr>
            <sz val="9"/>
            <color indexed="81"/>
            <rFont val="Tahoma"/>
            <family val="2"/>
          </rPr>
          <t>Original external formula:_x000D_
='[NM-GREET_v1.0.xlsm]EF'!$H$7</t>
        </r>
      </text>
    </comment>
    <comment ref="L50" authorId="0" shapeId="0" xr:uid="{0AEB16C3-B907-4536-8D8A-BDC5B33066A5}">
      <text>
        <r>
          <rPr>
            <sz val="9"/>
            <color indexed="81"/>
            <rFont val="Tahoma"/>
            <family val="2"/>
          </rPr>
          <t>Original external formula:_x000D_
='[NM-GREET_v1.0.xlsm]EF'!$C$7</t>
        </r>
      </text>
    </comment>
    <comment ref="H51" authorId="0" shapeId="0" xr:uid="{D81F8B56-2020-4238-B092-CD4534191D84}">
      <text>
        <r>
          <rPr>
            <sz val="9"/>
            <color indexed="81"/>
            <rFont val="Tahoma"/>
            <family val="2"/>
          </rPr>
          <t>Original external formula:_x000D_
=('[NM-GREET_v1.0.xlsm]NG'!B64*'[NM-GREET_v1.0.xlsm]Inputs'!$F$120*'[NM-GREET_v1.0.xlsm]NG'!$C$25+
  '[NM-GREET_v1.0.xlsm]NG'!E64*'[NM-GREET_v1.0.xlsm]Inputs'!$F$121*'[NM-GREET_v1.0.xlsm]NG'!$F$25
)*'[NM-GREET_v1.0.xlsm]NG'!$H$25</t>
        </r>
      </text>
    </comment>
    <comment ref="I51" authorId="0" shapeId="0" xr:uid="{DAA6A573-BB81-40B5-8363-74D43505D735}">
      <text>
        <r>
          <rPr>
            <sz val="9"/>
            <color indexed="81"/>
            <rFont val="Tahoma"/>
            <family val="2"/>
          </rPr>
          <t>Original external formula:_x000D_
=(SUM('[NM-GREET_v1.0.xlsm]NG'!C64:D64)*'[NM-GREET_v1.0.xlsm]Inputs'!$F$120+
  SUM('[NM-GREET_v1.0.xlsm]NG'!F64:G64)*'[NM-GREET_v1.0.xlsm]Inputs'!$F$121
)*'[NM-GREET_v1.0.xlsm]NG'!$H$25</t>
        </r>
      </text>
    </comment>
    <comment ref="J51" authorId="0" shapeId="0" xr:uid="{D6EEB37B-D34E-4017-B18C-BBDC352F15AD}">
      <text>
        <r>
          <rPr>
            <sz val="9"/>
            <color indexed="81"/>
            <rFont val="Tahoma"/>
            <family val="2"/>
          </rPr>
          <t>Original external formula:_x000D_
='[NM-GREET_v1.0.xlsm]NG'!H64</t>
        </r>
      </text>
    </comment>
    <comment ref="K51" authorId="0" shapeId="0" xr:uid="{8EBC9B8C-05A2-4937-B354-09C443B5ACC2}">
      <text>
        <r>
          <rPr>
            <sz val="9"/>
            <color indexed="81"/>
            <rFont val="Tahoma"/>
            <family val="2"/>
          </rPr>
          <t>Original external formula:_x000D_
='[NM-GREET_v1.0.xlsm]EF'!$H$14</t>
        </r>
      </text>
    </comment>
    <comment ref="L51" authorId="0" shapeId="0" xr:uid="{EE6D7713-E605-4027-8DDA-4AD1C8753374}">
      <text>
        <r>
          <rPr>
            <sz val="9"/>
            <color indexed="81"/>
            <rFont val="Tahoma"/>
            <family val="2"/>
          </rPr>
          <t>Original external formula:_x000D_
='[NM-GREET_v1.0.xlsm]EF'!$C$14</t>
        </r>
      </text>
    </comment>
    <comment ref="D52" authorId="0" shapeId="0" xr:uid="{EBFF3C3D-429A-4E13-9A10-C5F3A43B49B2}">
      <text>
        <r>
          <rPr>
            <sz val="9"/>
            <color indexed="81"/>
            <rFont val="Tahoma"/>
            <family val="2"/>
          </rPr>
          <t>Original external formula:_x000D_
=(SUM('[NM-GREET_v1.0.xlsm]Results_NM'!$AL$16:$AM$16)+
  ('[NM-GREET_v1.0.xlsm]EF'!Z6*GWP_VOC+
   '[NM-GREET_v1.0.xlsm]EF'!Z7*GWP_CO+
   '[NM-GREET_v1.0.xlsm]EF'!Z14*GWP_CH4+
   '[NM-GREET_v1.0.xlsm]EF'!Z15*GWP_N2O+
   '[NM-GREET_v1.0.xlsm]EF'!Z16)/mmBtu2MJ
)/MJ2Btu*LHV_LPG</t>
        </r>
      </text>
    </comment>
    <comment ref="H52" authorId="0" shapeId="0" xr:uid="{43435C9B-10F4-4C88-9EB1-02E9B7694F09}">
      <text>
        <r>
          <rPr>
            <sz val="9"/>
            <color indexed="81"/>
            <rFont val="Tahoma"/>
            <family val="2"/>
          </rPr>
          <t>Original external formula:_x000D_
=('[NM-GREET_v1.0.xlsm]NG'!B67*'[NM-GREET_v1.0.xlsm]Inputs'!$F$120*'[NM-GREET_v1.0.xlsm]NG'!$C$25+
  '[NM-GREET_v1.0.xlsm]NG'!E67*'[NM-GREET_v1.0.xlsm]Inputs'!$F$121*'[NM-GREET_v1.0.xlsm]NG'!$F$25
)*'[NM-GREET_v1.0.xlsm]NG'!$H$25</t>
        </r>
      </text>
    </comment>
    <comment ref="I52" authorId="0" shapeId="0" xr:uid="{CE8CD02C-19DB-4AA2-AA36-CC519BFB27E5}">
      <text>
        <r>
          <rPr>
            <sz val="9"/>
            <color indexed="81"/>
            <rFont val="Tahoma"/>
            <family val="2"/>
          </rPr>
          <t>Original external formula:_x000D_
=(SUM('[NM-GREET_v1.0.xlsm]NG'!C67:D67)*'[NM-GREET_v1.0.xlsm]Inputs'!$F$120+
  SUM('[NM-GREET_v1.0.xlsm]NG'!F67:G67)*'[NM-GREET_v1.0.xlsm]Inputs'!$F$121
)*'[NM-GREET_v1.0.xlsm]NG'!$H$25</t>
        </r>
      </text>
    </comment>
    <comment ref="J52" authorId="0" shapeId="0" xr:uid="{629C0224-FF70-496E-9E26-B1A51289D234}">
      <text>
        <r>
          <rPr>
            <sz val="9"/>
            <color indexed="81"/>
            <rFont val="Tahoma"/>
            <family val="2"/>
          </rPr>
          <t>Original external formula:_x000D_
='[NM-GREET_v1.0.xlsm]NG'!H67</t>
        </r>
      </text>
    </comment>
    <comment ref="B53" authorId="1" shapeId="0" xr:uid="{34DC1963-6182-4B99-980E-90DB8A403F98}">
      <text>
        <r>
          <rPr>
            <sz val="9"/>
            <color indexed="81"/>
            <rFont val="Tahoma"/>
            <family val="2"/>
          </rPr>
          <t xml:space="preserve">NMED:
Input the user-defined fuel name along with the unit of MJ (LHV) in parentheses. 
</t>
        </r>
      </text>
    </comment>
    <comment ref="H53" authorId="0" shapeId="0" xr:uid="{318CDC28-E3B5-4614-A898-67958A63EA7E}">
      <text>
        <r>
          <rPr>
            <sz val="9"/>
            <color indexed="81"/>
            <rFont val="Tahoma"/>
            <family val="2"/>
          </rPr>
          <t>Original external formula:_x000D_
=('[NM-GREET_v1.0.xlsm]NG'!B65*'[NM-GREET_v1.0.xlsm]Inputs'!$F$120*'[NM-GREET_v1.0.xlsm]NG'!$C$25+
  '[NM-GREET_v1.0.xlsm]NG'!E65*'[NM-GREET_v1.0.xlsm]Inputs'!$F$121*'[NM-GREET_v1.0.xlsm]NG'!$F$25
)*'[NM-GREET_v1.0.xlsm]NG'!$H$25</t>
        </r>
      </text>
    </comment>
    <comment ref="I53" authorId="0" shapeId="0" xr:uid="{961BD8E3-44E3-47E0-9DD2-882623000D45}">
      <text>
        <r>
          <rPr>
            <sz val="9"/>
            <color indexed="81"/>
            <rFont val="Tahoma"/>
            <family val="2"/>
          </rPr>
          <t>Original external formula:_x000D_
=(SUM('[NM-GREET_v1.0.xlsm]NG'!C65:D65)*'[NM-GREET_v1.0.xlsm]Inputs'!$F$120+
  SUM('[NM-GREET_v1.0.xlsm]NG'!F65:G65)*'[NM-GREET_v1.0.xlsm]Inputs'!$F$121
)*'[NM-GREET_v1.0.xlsm]NG'!$H$25</t>
        </r>
      </text>
    </comment>
    <comment ref="J53" authorId="0" shapeId="0" xr:uid="{86F1922B-5987-430F-92B5-0AF2383F2AA5}">
      <text>
        <r>
          <rPr>
            <sz val="9"/>
            <color indexed="81"/>
            <rFont val="Tahoma"/>
            <family val="2"/>
          </rPr>
          <t>Original external formula:_x000D_
='[NM-GREET_v1.0.xlsm]NG'!H65</t>
        </r>
      </text>
    </comment>
    <comment ref="K53" authorId="0" shapeId="0" xr:uid="{A8490651-C015-4DC2-9B9A-697388B376F4}">
      <text>
        <r>
          <rPr>
            <sz val="9"/>
            <color indexed="81"/>
            <rFont val="Tahoma"/>
            <family val="2"/>
          </rPr>
          <t>Original external formula:_x000D_
='[NM-GREET_v1.0.xlsm]EF'!$H$15</t>
        </r>
      </text>
    </comment>
    <comment ref="L53" authorId="0" shapeId="0" xr:uid="{DD299BCC-55E0-46BE-A79B-EFC43FE87E02}">
      <text>
        <r>
          <rPr>
            <sz val="9"/>
            <color indexed="81"/>
            <rFont val="Tahoma"/>
            <family val="2"/>
          </rPr>
          <t>Original external formula:_x000D_
='[NM-GREET_v1.0.xlsm]EF'!$C$15</t>
        </r>
      </text>
    </comment>
    <comment ref="B54" authorId="1" shapeId="0" xr:uid="{0CD3EC0B-F4C9-494E-A62D-B2A071EBB8CD}">
      <text>
        <r>
          <rPr>
            <sz val="9"/>
            <color indexed="81"/>
            <rFont val="Tahoma"/>
            <family val="2"/>
          </rPr>
          <t xml:space="preserve">NMED:
Input the user-defined fuel name along with the unit of MJ (LHV) in parentheses. 
</t>
        </r>
      </text>
    </comment>
    <comment ref="H54" authorId="0" shapeId="0" xr:uid="{1EE9F541-CC12-44E5-BE64-57F54C08346B}">
      <text>
        <r>
          <rPr>
            <sz val="9"/>
            <color indexed="81"/>
            <rFont val="Tahoma"/>
            <family val="2"/>
          </rPr>
          <t>Original external formula:_x000D_
=('[NM-GREET_v1.0.xlsm]NG'!B66*'[NM-GREET_v1.0.xlsm]Inputs'!$F$120*'[NM-GREET_v1.0.xlsm]NG'!$C$25+
  '[NM-GREET_v1.0.xlsm]NG'!E66*'[NM-GREET_v1.0.xlsm]Inputs'!$F$121*'[NM-GREET_v1.0.xlsm]NG'!$F$25
)*'[NM-GREET_v1.0.xlsm]NG'!$H$25</t>
        </r>
      </text>
    </comment>
    <comment ref="I54" authorId="0" shapeId="0" xr:uid="{0FDCD186-991A-4F93-9013-CCFBE2B0BC2D}">
      <text>
        <r>
          <rPr>
            <sz val="9"/>
            <color indexed="81"/>
            <rFont val="Tahoma"/>
            <family val="2"/>
          </rPr>
          <t>Original external formula:_x000D_
=(SUM('[NM-GREET_v1.0.xlsm]NG'!C66:D66)*'[NM-GREET_v1.0.xlsm]Inputs'!$F$120+
  SUM('[NM-GREET_v1.0.xlsm]NG'!F66:G66)*'[NM-GREET_v1.0.xlsm]Inputs'!$F$121
)*'[NM-GREET_v1.0.xlsm]NG'!$H$25</t>
        </r>
      </text>
    </comment>
    <comment ref="J54" authorId="0" shapeId="0" xr:uid="{7047E5C5-048F-4FB3-AD5A-6BE851719039}">
      <text>
        <r>
          <rPr>
            <sz val="9"/>
            <color indexed="81"/>
            <rFont val="Tahoma"/>
            <family val="2"/>
          </rPr>
          <t>Original external formula:_x000D_
='[NM-GREET_v1.0.xlsm]NG'!H66</t>
        </r>
      </text>
    </comment>
    <comment ref="K54" authorId="0" shapeId="0" xr:uid="{170CDB45-781B-4D54-91D1-D4E32EEDC0C5}">
      <text>
        <r>
          <rPr>
            <sz val="9"/>
            <color indexed="81"/>
            <rFont val="Tahoma"/>
            <family val="2"/>
          </rPr>
          <t>Original external formula:_x000D_
='[NM-GREET_v1.0.xlsm]EF'!$H$16</t>
        </r>
      </text>
    </comment>
    <comment ref="L54" authorId="0" shapeId="0" xr:uid="{CE14263E-7061-4442-96F0-50EA4551B5C1}">
      <text>
        <r>
          <rPr>
            <sz val="9"/>
            <color indexed="81"/>
            <rFont val="Tahoma"/>
            <family val="2"/>
          </rPr>
          <t>Original external formula:_x000D_
='[NM-GREET_v1.0.xlsm]EF'!$C$16</t>
        </r>
      </text>
    </comment>
    <comment ref="B55" authorId="1" shapeId="0" xr:uid="{BF3333DF-05DC-4D7D-8E92-25F24D221B1E}">
      <text>
        <r>
          <rPr>
            <sz val="9"/>
            <color indexed="81"/>
            <rFont val="Tahoma"/>
            <family val="2"/>
          </rPr>
          <t xml:space="preserve">NMED:
Input the user-defined fuel name along with the unit of MJ (LHV) in parentheses. 
</t>
        </r>
      </text>
    </comment>
  </commentList>
</comments>
</file>

<file path=xl/sharedStrings.xml><?xml version="1.0" encoding="utf-8"?>
<sst xmlns="http://schemas.openxmlformats.org/spreadsheetml/2006/main" count="1354" uniqueCount="728">
  <si>
    <t>Color Key</t>
  </si>
  <si>
    <t>User Input</t>
  </si>
  <si>
    <t>Calculated Value</t>
  </si>
  <si>
    <t>Tier 1 Pathway Calculators and Instruction Manuals</t>
  </si>
  <si>
    <t>Pathway CI Results</t>
  </si>
  <si>
    <t>`</t>
  </si>
  <si>
    <t>SUMMARY AND OPERATING CONDITIONS OF DAIRY/SWINE MANURE TO CNG/LNG/L-CNG PATHWAY</t>
  </si>
  <si>
    <t>(FOR APPLICANT TO REVIEW ONLY - CONTAINS CONFIDENTIAL BUSINESS INFORMATION - DO NOT DISTRIBUTE)</t>
  </si>
  <si>
    <t>AXXXX/BXXXX</t>
  </si>
  <si>
    <t>Input Data</t>
  </si>
  <si>
    <t>Biogas</t>
  </si>
  <si>
    <t>Applicant</t>
  </si>
  <si>
    <t xml:space="preserve">CNG Carbon Intensity: </t>
  </si>
  <si>
    <t>Digester Location:</t>
  </si>
  <si>
    <t xml:space="preserve">Certification Date: </t>
  </si>
  <si>
    <t>TBD</t>
  </si>
  <si>
    <t>Pathway Description:</t>
  </si>
  <si>
    <t xml:space="preserve">FPC Code: </t>
  </si>
  <si>
    <t>First Reporting Month for Certification</t>
  </si>
  <si>
    <t>Value</t>
  </si>
  <si>
    <t>Unit</t>
  </si>
  <si>
    <t>Note</t>
  </si>
  <si>
    <t>1) Project Background Information</t>
  </si>
  <si>
    <t>head</t>
  </si>
  <si>
    <t>°C</t>
  </si>
  <si>
    <t>Full lagoon cleanouts in baseline?</t>
  </si>
  <si>
    <t>Digester type</t>
  </si>
  <si>
    <t>Manure Biogas Production Electricity Mix</t>
  </si>
  <si>
    <t>2) Baseline Methane Production</t>
  </si>
  <si>
    <t>kWh</t>
  </si>
  <si>
    <t>Methane Avoided / CO2 Diverted Credits</t>
  </si>
  <si>
    <t>3) Project Methane Production</t>
  </si>
  <si>
    <t xml:space="preserve">Raw Inlet Gas as Feedstock </t>
  </si>
  <si>
    <t>SCF at 60°F</t>
  </si>
  <si>
    <t xml:space="preserve">Average Methane Content </t>
  </si>
  <si>
    <t>% CH4</t>
  </si>
  <si>
    <t>Biogas Production</t>
  </si>
  <si>
    <t>Biogas Production &amp; Upgrading</t>
  </si>
  <si>
    <t>Post-Digester Fugitives</t>
  </si>
  <si>
    <t>Digester Leakage (standard value)</t>
  </si>
  <si>
    <t>Flared Biomethane</t>
  </si>
  <si>
    <t>Upgrading Fugitives (2% minimum)</t>
  </si>
  <si>
    <t>Biomethane Transmission</t>
  </si>
  <si>
    <t>%</t>
  </si>
  <si>
    <t>NG Transport Electricity Mix</t>
  </si>
  <si>
    <t>miles</t>
  </si>
  <si>
    <t>Pipeline Distance to LNG facility</t>
  </si>
  <si>
    <t>4) Project Energy Usage</t>
  </si>
  <si>
    <t xml:space="preserve">LNG Production &amp; Transmission </t>
  </si>
  <si>
    <t>Diesel</t>
  </si>
  <si>
    <t>MJ / month</t>
  </si>
  <si>
    <t>Electricity (including on-site electricity from biogas)</t>
  </si>
  <si>
    <t xml:space="preserve">Natural Gas </t>
  </si>
  <si>
    <t>Propane (process energy)</t>
  </si>
  <si>
    <t>Raw Biogas (heat+process fuel)</t>
  </si>
  <si>
    <t>MJ/month</t>
  </si>
  <si>
    <t>Biomethane (heating + process fuel)</t>
  </si>
  <si>
    <t>CNG Production</t>
  </si>
  <si>
    <t>Tailpipe Emissions</t>
  </si>
  <si>
    <t xml:space="preserve">Fuel for Biomethane transport </t>
  </si>
  <si>
    <t>Natural Gas (Gas Btu Enhancement)</t>
  </si>
  <si>
    <t>Propane (Gas Btu Enhancement)</t>
  </si>
  <si>
    <t>5) Fuel Production</t>
  </si>
  <si>
    <t>Compressed Natural Gas (CNG) Production</t>
  </si>
  <si>
    <t>CNG Production Electricity Mix</t>
  </si>
  <si>
    <t>LNG Transport &amp; Dispense</t>
  </si>
  <si>
    <t xml:space="preserve"> Truck</t>
  </si>
  <si>
    <t>Subtotal CI</t>
  </si>
  <si>
    <t>Dispense</t>
  </si>
  <si>
    <t>6) Finished Fuel</t>
  </si>
  <si>
    <t>Biomethane Injected into Pipeline</t>
  </si>
  <si>
    <t>% Exported</t>
  </si>
  <si>
    <t xml:space="preserve">Operating Conditions: </t>
  </si>
  <si>
    <t xml:space="preserve">
</t>
  </si>
  <si>
    <t>L1.1.1 
Livestock Category (L)
1</t>
  </si>
  <si>
    <t xml:space="preserve">L1.1.7
Reporting Month </t>
  </si>
  <si>
    <t>L1.1.8
Livestock Population</t>
  </si>
  <si>
    <t>L1.1.9
Calendar Days of the Month</t>
  </si>
  <si>
    <t>L1.1.10
Number of Reporting Days</t>
  </si>
  <si>
    <t>L1.1.11
Average Temperature</t>
  </si>
  <si>
    <t xml:space="preserve">L1.1.12
Van't Hoff-Arrhenius factor </t>
  </si>
  <si>
    <t>L1.1.13
 Fraction of Volatile Solids Sent to Anaerobic Storage/Treatment System</t>
  </si>
  <si>
    <t>L1.1.14
Volatile Solids Available for Degradation</t>
  </si>
  <si>
    <t>L1.1.15
Retention Time and Drainage</t>
  </si>
  <si>
    <t>L1.1.16
Carryover from Previous Month</t>
  </si>
  <si>
    <t>L1.1.17
Volatile Solids Degraded</t>
  </si>
  <si>
    <t>L1.1.18
Baseline Methane Emissions, AS</t>
  </si>
  <si>
    <t>L1.2.1 
Livestock Category (L)
2</t>
  </si>
  <si>
    <t xml:space="preserve">L1.2.7
Reporting Month </t>
  </si>
  <si>
    <t>L1.2.8
Livestock Population</t>
  </si>
  <si>
    <t>L1.2.9
Calendar Days of the Month</t>
  </si>
  <si>
    <t>L1.2.10
Number of Reporting Days</t>
  </si>
  <si>
    <t>L1.2.11 
Average Temperature</t>
  </si>
  <si>
    <t xml:space="preserve">L1.2.12
Van't Hoff-Arrhenius factor </t>
  </si>
  <si>
    <t>L1.2.13 
Fraction of Volatile Solids Sent to Anaerobic Storage/Treatment System</t>
  </si>
  <si>
    <t>L1.2.14 
Volatile Solids Available for Degradation</t>
  </si>
  <si>
    <t>L1.2.15
Retention Time and Drainage</t>
  </si>
  <si>
    <t>L1.2.16
Carryover from Previous Month</t>
  </si>
  <si>
    <t>L1.2.17
Volatile Solids Degraded</t>
  </si>
  <si>
    <t>L1.2.18
Baseline Methane Emissions, AS</t>
  </si>
  <si>
    <t>L1.3.1 
Livestock Category (L)
3</t>
  </si>
  <si>
    <t xml:space="preserve">L1.3.7
Reporting Month </t>
  </si>
  <si>
    <t>L1.3.8
Livestock Population</t>
  </si>
  <si>
    <t>L1.3.9
Calendar Days of the Month</t>
  </si>
  <si>
    <t>L1.3.10 
Number of Reporting Days</t>
  </si>
  <si>
    <t>L1.3.11
Average Temperature</t>
  </si>
  <si>
    <t xml:space="preserve">L1.3.12
Van't Hoff-Arrhenius factor </t>
  </si>
  <si>
    <t>L1.3.13
Fraction of Volatile Solids Sent to Anaerobic Storage/Treatment System</t>
  </si>
  <si>
    <t>L1.3.14
Volatile Solids Available for Degradation</t>
  </si>
  <si>
    <t>L1.3.15
Retention Time and Drainage</t>
  </si>
  <si>
    <t>L1.3.16
Carryover from Previous Month</t>
  </si>
  <si>
    <t>L1.3.17
Volatile Solids Degraded</t>
  </si>
  <si>
    <t>L1.3.18
Baseline Methane Emissions, AS</t>
  </si>
  <si>
    <t>L1.4.1 
Livestock Category (L)
4</t>
  </si>
  <si>
    <t xml:space="preserve">L1.4.7
Reporting Month </t>
  </si>
  <si>
    <t>L1.4.8
Livestock Population</t>
  </si>
  <si>
    <t>L1.4.9
Calendar Days of the Month</t>
  </si>
  <si>
    <t>L1.4.10
Number of Reporting Days</t>
  </si>
  <si>
    <t>L1.4.11
Average Temperature</t>
  </si>
  <si>
    <t xml:space="preserve">L1.4.12
Van't Hoff-Arrhenius factor </t>
  </si>
  <si>
    <t>L1.4.13
Fraction of Volatile Solids Sent to Anaerobic Storage/Treatment System</t>
  </si>
  <si>
    <t>L1.4.14
Volatile Solids Available for Degradation</t>
  </si>
  <si>
    <t>L1.4.15
Retention Time and Drainage</t>
  </si>
  <si>
    <t>L1.4.16
Carryover from Previous Month</t>
  </si>
  <si>
    <t>L1.4.17
Volatile Solids Degraded</t>
  </si>
  <si>
    <t>L1.4.18
Baseline Methane Emissions, AS</t>
  </si>
  <si>
    <t>L1.5.1 
Livestock Category (L)
5</t>
  </si>
  <si>
    <t xml:space="preserve">L1.5.7
Reporting Month </t>
  </si>
  <si>
    <t>L1.5.8
Livestock Population</t>
  </si>
  <si>
    <t>L1.5.9
Calendar Days of the Month</t>
  </si>
  <si>
    <t>L1.5.10
Number of Reporting Days</t>
  </si>
  <si>
    <t>L1.5.11 
Average Temperature</t>
  </si>
  <si>
    <t xml:space="preserve">L1.5.12
Van't Hoff-Arrhenius factor </t>
  </si>
  <si>
    <t>L1.5.13
Fraction of Volatile Solids Sent to Anaerobic Storage/Treatment System</t>
  </si>
  <si>
    <t>L1.5.14 
Volatile Solids Available for Degradation</t>
  </si>
  <si>
    <t>L1.5.15
Retention Time and Drainage</t>
  </si>
  <si>
    <t>L1.5.16
Carryover from Previous Month</t>
  </si>
  <si>
    <t>L1.5.17
Volatile Solids Degraded</t>
  </si>
  <si>
    <t>L1.5.18
Baseline Methane Emissions, AS</t>
  </si>
  <si>
    <t>L1.6.1 
Livestock Category (L)
6</t>
  </si>
  <si>
    <t xml:space="preserve">L1.6.7
Reporting Month </t>
  </si>
  <si>
    <t>L1.6.8 
Livestock Population</t>
  </si>
  <si>
    <t>L1.6.9
Calendar Days of the Month</t>
  </si>
  <si>
    <t>L1.6.10
Number of Reporting Days</t>
  </si>
  <si>
    <t>L1.6.11
Average Temperature</t>
  </si>
  <si>
    <t xml:space="preserve">L1.6.12
Van't Hoff-Arrhenius factor </t>
  </si>
  <si>
    <t>L1.6.13
Fraction of Volatile Solids Sent to Anaerobic Storage/Treatment System</t>
  </si>
  <si>
    <t>L1.6.14 
Volatile Solids Available for Degradation</t>
  </si>
  <si>
    <t>L1.6.15
Retention Time and Drainage</t>
  </si>
  <si>
    <t>L1.6.16
Carryover from Previous Month</t>
  </si>
  <si>
    <t>L1.6.17
Volatile Solids Degraded</t>
  </si>
  <si>
    <t>L1.6.18
Baseline Methane Emissions, AS</t>
  </si>
  <si>
    <t>-</t>
  </si>
  <si>
    <t>(MM/YYYY)</t>
  </si>
  <si>
    <t>days</t>
  </si>
  <si>
    <t>f</t>
  </si>
  <si>
    <t>Select "System Emptied in This Month" for each September</t>
  </si>
  <si>
    <t>L1.1.2 Baseline Reporting Period (Months)</t>
  </si>
  <si>
    <t>L1.2.2 Baseline Reporting Period (Months)</t>
  </si>
  <si>
    <t>L1.3.2 Baseline Reporting Period (Months)</t>
  </si>
  <si>
    <t>L1.4.2 Baseline Reporting Period (Months)</t>
  </si>
  <si>
    <t>L1.5.2 Baseline Reporting Period (Months)</t>
  </si>
  <si>
    <t>L1.6.2 Baseline Reporting Period (Months)</t>
  </si>
  <si>
    <t>Not Applicable</t>
  </si>
  <si>
    <t>L1.1.3 Livestock Average Mass</t>
  </si>
  <si>
    <t>L1.2.3 Livestock Average Mass</t>
  </si>
  <si>
    <t>L1.3.3 Livestock Average Mass</t>
  </si>
  <si>
    <t>L1.4.3 Livestock Average Mass</t>
  </si>
  <si>
    <t>L1.5.3 Livestock Average Mass</t>
  </si>
  <si>
    <t>L1.6.3 Livestock Average Mass</t>
  </si>
  <si>
    <t>L1.1.5 Livestock Excretion Rate</t>
  </si>
  <si>
    <t>L1.2.5 Livestock Excretion Rate</t>
  </si>
  <si>
    <t>L1.3.5 Livestock Excretion Rate</t>
  </si>
  <si>
    <t>L1.4.5 Livestock Excretion Rate</t>
  </si>
  <si>
    <t>L1.5.5 Livestock Excretion Rate</t>
  </si>
  <si>
    <t>L1.6.5 Livestock Excretion Rate</t>
  </si>
  <si>
    <t>L1.1.6  Farm Name</t>
  </si>
  <si>
    <t>L1.2.6  Farm Name</t>
  </si>
  <si>
    <t>L1.3.6  Farm Name</t>
  </si>
  <si>
    <t>L1.4.6  Farm Name</t>
  </si>
  <si>
    <t>L1.5.6  Farm Name</t>
  </si>
  <si>
    <t>L1.6.6  Farm Name</t>
  </si>
  <si>
    <t>Total</t>
  </si>
  <si>
    <t>Livestock Category (L)</t>
  </si>
  <si>
    <t>L2.1  Other storage/treatment Systems</t>
  </si>
  <si>
    <t>~~Select Storage/Treatment~~</t>
  </si>
  <si>
    <r>
      <t>Total (BE</t>
    </r>
    <r>
      <rPr>
        <b/>
        <vertAlign val="subscript"/>
        <sz val="12"/>
        <color theme="1"/>
        <rFont val="Calibri"/>
        <family val="2"/>
        <scheme val="minor"/>
      </rPr>
      <t>CH4,nAS</t>
    </r>
    <r>
      <rPr>
        <b/>
        <sz val="12"/>
        <color theme="1"/>
        <rFont val="Calibri"/>
        <family val="2"/>
        <scheme val="minor"/>
      </rPr>
      <t xml:space="preserve"> , MT CH</t>
    </r>
    <r>
      <rPr>
        <b/>
        <vertAlign val="subscript"/>
        <sz val="12"/>
        <color theme="1"/>
        <rFont val="Calibri"/>
        <family val="2"/>
        <scheme val="minor"/>
      </rPr>
      <t>4</t>
    </r>
    <r>
      <rPr>
        <b/>
        <sz val="12"/>
        <color theme="1"/>
        <rFont val="Calibri"/>
        <family val="2"/>
        <scheme val="minor"/>
      </rPr>
      <t>)</t>
    </r>
  </si>
  <si>
    <r>
      <t>L2.4
Baseline Methane Emissions, non-AS 
(BE</t>
    </r>
    <r>
      <rPr>
        <b/>
        <vertAlign val="subscript"/>
        <sz val="12"/>
        <rFont val="Calibri"/>
        <family val="2"/>
        <scheme val="minor"/>
      </rPr>
      <t>CH4,L,nAS</t>
    </r>
    <r>
      <rPr>
        <b/>
        <sz val="12"/>
        <rFont val="Calibri"/>
        <family val="2"/>
        <scheme val="minor"/>
      </rPr>
      <t xml:space="preserve"> , MT CH</t>
    </r>
    <r>
      <rPr>
        <b/>
        <vertAlign val="subscript"/>
        <sz val="12"/>
        <rFont val="Calibri"/>
        <family val="2"/>
        <scheme val="minor"/>
      </rPr>
      <t>4</t>
    </r>
    <r>
      <rPr>
        <b/>
        <sz val="12"/>
        <rFont val="Calibri"/>
        <family val="2"/>
        <scheme val="minor"/>
      </rPr>
      <t>)</t>
    </r>
  </si>
  <si>
    <t xml:space="preserve">L3.1
Reporting Month
(MM/YYYY)
</t>
  </si>
  <si>
    <t>Method 1</t>
  </si>
  <si>
    <t>Method 2</t>
  </si>
  <si>
    <t>L3.8
Project Methane Emissions from Venting</t>
  </si>
  <si>
    <t>L3.3
Average Daily Biogas Production for the 7 Days Preceding the Venting</t>
  </si>
  <si>
    <t>L3.4
Number of Days for the Uncontrolled Venting</t>
  </si>
  <si>
    <t>L3.5
Quarterly Methane Concentration</t>
  </si>
  <si>
    <t>L3.6 Vented Biogas Flow, (metered)</t>
  </si>
  <si>
    <t xml:space="preserve">L3.7
Biomethane Content in Vented Biogas (metered)
</t>
  </si>
  <si>
    <t>t (days)</t>
  </si>
  <si>
    <t>% Methane</t>
  </si>
  <si>
    <t>L4.1
Livestock Category</t>
  </si>
  <si>
    <t>L4.2
Average Population</t>
  </si>
  <si>
    <t>L4.3
Livestock Excretion Rate</t>
  </si>
  <si>
    <t>L4.8
Number of Reporting Days</t>
  </si>
  <si>
    <t>L4.9
Methane Conversion Factor</t>
  </si>
  <si>
    <t xml:space="preserve"> L</t>
  </si>
  <si>
    <t>L5.1.a  Non-BCS Storage/Treatment Systems for Manure</t>
  </si>
  <si>
    <t>L5.1.b   Other Storage/Treatment Systems for Effluent</t>
  </si>
  <si>
    <r>
      <t>Total
(PE</t>
    </r>
    <r>
      <rPr>
        <b/>
        <vertAlign val="subscript"/>
        <sz val="12"/>
        <color theme="1"/>
        <rFont val="Calibri"/>
        <family val="2"/>
        <scheme val="minor"/>
      </rPr>
      <t>CH4,non-BCS</t>
    </r>
    <r>
      <rPr>
        <b/>
        <sz val="12"/>
        <color theme="1"/>
        <rFont val="Calibri"/>
        <family val="2"/>
        <scheme val="minor"/>
      </rPr>
      <t xml:space="preserve"> , MT CH</t>
    </r>
    <r>
      <rPr>
        <b/>
        <vertAlign val="subscript"/>
        <sz val="12"/>
        <color theme="1"/>
        <rFont val="Calibri"/>
        <family val="2"/>
        <scheme val="minor"/>
      </rPr>
      <t>4</t>
    </r>
    <r>
      <rPr>
        <b/>
        <sz val="12"/>
        <color theme="1"/>
        <rFont val="Calibri"/>
        <family val="2"/>
        <scheme val="minor"/>
      </rPr>
      <t>)</t>
    </r>
  </si>
  <si>
    <t>P1.1  Select Digester Type</t>
  </si>
  <si>
    <t>Covered Lagoon</t>
  </si>
  <si>
    <t>P1.4 Project methane emissions</t>
  </si>
  <si>
    <t>P1.4.d Digester leakage</t>
  </si>
  <si>
    <t>Section P2. Avoided CH4 Emissions Calculation Detail</t>
  </si>
  <si>
    <t>Subtotal Project Methane emissions (Calculation)</t>
  </si>
  <si>
    <t>MT CH4</t>
  </si>
  <si>
    <t>Net methane emissions avoided  (Calculation)</t>
  </si>
  <si>
    <t>Metered Methane Quantities (project monitoring parameter, metered)</t>
  </si>
  <si>
    <t>Total methane produced from digester (metered)</t>
  </si>
  <si>
    <t>Methane at inlet to cleanup/upgrading facility</t>
  </si>
  <si>
    <t>Avoided Methane and CO2 calculations</t>
  </si>
  <si>
    <t>CNG CI</t>
  </si>
  <si>
    <t>LNG CI</t>
  </si>
  <si>
    <t>L-CNG CI</t>
  </si>
  <si>
    <t>Section  1. Applicant Information</t>
  </si>
  <si>
    <t>1.1  Company Name and ID 
Ex. Applicant, LLC (CXXXX)</t>
  </si>
  <si>
    <t>1.6  CNG Dispensing Station(s) Location (Street, City, State)</t>
  </si>
  <si>
    <t xml:space="preserve">1.11  Names of All Intermediate Facilities (e.g., manure sources not co-located with the biogas upgrading facility) </t>
  </si>
  <si>
    <t>1.2  Facility Name and ID
Ex. Production, LLC (F0XXXX)</t>
  </si>
  <si>
    <t>1.7 LNG Dispensing Station(s) Location (Street, City, State)</t>
  </si>
  <si>
    <t>1.8 LNG and/or L-CNG Dispensing Station(s) Location (Street, City, State)</t>
  </si>
  <si>
    <t>1.4.a  Digester Location 
(Street, City)</t>
  </si>
  <si>
    <t>1.9 Digester Type</t>
  </si>
  <si>
    <t>1.4.b  Digester Location 
(State)</t>
  </si>
  <si>
    <t>California</t>
  </si>
  <si>
    <t>1.5  LNG Liquefaction Facility Location (Street, City, State)</t>
  </si>
  <si>
    <t>Section 2. Biomethane Production Data</t>
  </si>
  <si>
    <t>Section 3. LNG and L-CNG Production and Transport Data</t>
  </si>
  <si>
    <t>2.1  Select Electricity Mix for Biomethane</t>
  </si>
  <si>
    <t>CAMX</t>
  </si>
  <si>
    <t>2.2a   Provisional Pathway?</t>
  </si>
  <si>
    <t>3.1 LNG, L-CNG Facility Name and ID</t>
  </si>
  <si>
    <t>Raw Biogas Production</t>
  </si>
  <si>
    <t>Flared Biogas</t>
  </si>
  <si>
    <t>Digester energy use (Project)</t>
  </si>
  <si>
    <t xml:space="preserve"> Upgrading and compression energy use (Project)</t>
  </si>
  <si>
    <t>Biomethane Transport</t>
  </si>
  <si>
    <t xml:space="preserve">2.3 
Reporting Month
</t>
  </si>
  <si>
    <t xml:space="preserve">2.5
Biomethane Content 
</t>
  </si>
  <si>
    <t xml:space="preserve">2.7
Biomethane Content 
</t>
  </si>
  <si>
    <t xml:space="preserve">2.9
Biomethane Content 
</t>
  </si>
  <si>
    <t>3.4 LNG Truck Type</t>
  </si>
  <si>
    <t xml:space="preserve">Total </t>
  </si>
  <si>
    <t>EF</t>
  </si>
  <si>
    <t>Section 4. CI Calculation Details</t>
  </si>
  <si>
    <t>Manure to CNG, LNG, L-CNG</t>
  </si>
  <si>
    <t>Raw Biogas Production-Digester</t>
  </si>
  <si>
    <t>Utility source NG</t>
  </si>
  <si>
    <t>Raw Biogas (heat)</t>
  </si>
  <si>
    <t>Biomethane (heat)</t>
  </si>
  <si>
    <t>Subtotal</t>
  </si>
  <si>
    <t>Grid electricity</t>
  </si>
  <si>
    <t>Raw Biogas (process fuel)</t>
  </si>
  <si>
    <t>Biomethane (process fuel)</t>
  </si>
  <si>
    <t>Onsite electricity from biomethane</t>
  </si>
  <si>
    <t>Biomethane (flaring)</t>
  </si>
  <si>
    <t>Feed Loss (fugitive methane)</t>
  </si>
  <si>
    <t>by pipeline to LNG Plant</t>
  </si>
  <si>
    <t>LNG Production</t>
  </si>
  <si>
    <t>Liquefaction Process</t>
  </si>
  <si>
    <t>LNG Transport and Distribution</t>
  </si>
  <si>
    <t xml:space="preserve">LNG Truck </t>
  </si>
  <si>
    <t>Reciprocating engine emissions</t>
  </si>
  <si>
    <t>CNG Vehicles</t>
  </si>
  <si>
    <t>LNG Vehicles</t>
  </si>
  <si>
    <t>Credits</t>
  </si>
  <si>
    <t>Methane avoided</t>
  </si>
  <si>
    <t>U.S. Average</t>
  </si>
  <si>
    <t>User Defined Mix</t>
  </si>
  <si>
    <t>AKGD</t>
  </si>
  <si>
    <t>AKMS</t>
  </si>
  <si>
    <t>AZNM</t>
  </si>
  <si>
    <t>ERCT</t>
  </si>
  <si>
    <t>FRCC</t>
  </si>
  <si>
    <t>HIMS</t>
  </si>
  <si>
    <t>HIOA</t>
  </si>
  <si>
    <t>MROE</t>
  </si>
  <si>
    <t>MROW</t>
  </si>
  <si>
    <t>NEWE</t>
  </si>
  <si>
    <t>NWPP</t>
  </si>
  <si>
    <t>NYCW</t>
  </si>
  <si>
    <t>NYLI</t>
  </si>
  <si>
    <t>NYUP</t>
  </si>
  <si>
    <t>PRMS</t>
  </si>
  <si>
    <t>RFCE</t>
  </si>
  <si>
    <t>RFCM</t>
  </si>
  <si>
    <t>RFCW</t>
  </si>
  <si>
    <t>RMPA</t>
  </si>
  <si>
    <t>SPNO</t>
  </si>
  <si>
    <t>SPSO</t>
  </si>
  <si>
    <t>SRMV</t>
  </si>
  <si>
    <t>SRMW</t>
  </si>
  <si>
    <t>SRSO</t>
  </si>
  <si>
    <t>SRTV</t>
  </si>
  <si>
    <t>SRVC</t>
  </si>
  <si>
    <t xml:space="preserve">Pipeline </t>
  </si>
  <si>
    <t>Evaporative Losses</t>
  </si>
  <si>
    <t>Transport Energy</t>
  </si>
  <si>
    <t>LNG Transport</t>
  </si>
  <si>
    <t>Evaporative Losses - 
With Boil-Off Recovery</t>
  </si>
  <si>
    <t>Evaporative Losses - Without Boil-Off Recovery</t>
  </si>
  <si>
    <t>Compression</t>
  </si>
  <si>
    <t>at Fueling Station</t>
  </si>
  <si>
    <t>NG Extraction</t>
  </si>
  <si>
    <t>NG Processing</t>
  </si>
  <si>
    <t>VOC</t>
  </si>
  <si>
    <t>CO</t>
  </si>
  <si>
    <t>CH4</t>
  </si>
  <si>
    <t>N2O</t>
  </si>
  <si>
    <t>CO2</t>
  </si>
  <si>
    <t>EF Unit</t>
  </si>
  <si>
    <t>Density</t>
  </si>
  <si>
    <t>LHV</t>
  </si>
  <si>
    <t>HHV</t>
  </si>
  <si>
    <t>Liquid Fuels:</t>
  </si>
  <si>
    <t>Low-sulfur diesel</t>
  </si>
  <si>
    <t>Liquefied petroleum gas (LPG)</t>
  </si>
  <si>
    <t>Liquefied natural gas (LNG)</t>
  </si>
  <si>
    <t>Natural gas</t>
  </si>
  <si>
    <t>Pure Methane</t>
  </si>
  <si>
    <t>Mass</t>
  </si>
  <si>
    <t>g</t>
  </si>
  <si>
    <t>kg</t>
  </si>
  <si>
    <t>metric tonne</t>
  </si>
  <si>
    <t>lb</t>
  </si>
  <si>
    <t>short ton</t>
  </si>
  <si>
    <t>Volume</t>
  </si>
  <si>
    <t>m3</t>
  </si>
  <si>
    <t>L</t>
  </si>
  <si>
    <t>gal</t>
  </si>
  <si>
    <t>ft3</t>
  </si>
  <si>
    <t>Energy</t>
  </si>
  <si>
    <t>J</t>
  </si>
  <si>
    <t>kJ</t>
  </si>
  <si>
    <t>MJ</t>
  </si>
  <si>
    <t>Wh</t>
  </si>
  <si>
    <t>LNG</t>
  </si>
  <si>
    <r>
      <t>Table A.1 and A.2: Typical Average Mass (Mass</t>
    </r>
    <r>
      <rPr>
        <b/>
        <vertAlign val="subscript"/>
        <sz val="11"/>
        <color theme="1"/>
        <rFont val="Calibri"/>
        <family val="2"/>
        <scheme val="minor"/>
      </rPr>
      <t>L</t>
    </r>
    <r>
      <rPr>
        <b/>
        <sz val="11"/>
        <color theme="1"/>
        <rFont val="Calibri"/>
        <family val="2"/>
        <scheme val="minor"/>
      </rPr>
      <t>), Volatile Solids, and Maximum Methane Potential of all Livestock Category</t>
    </r>
  </si>
  <si>
    <t>Non-milking dairy cows (on feed)</t>
  </si>
  <si>
    <t>Bulls (grazing)</t>
  </si>
  <si>
    <t>Calves (grazing)</t>
  </si>
  <si>
    <t>Nursery swine</t>
  </si>
  <si>
    <t>Grow/finish swine</t>
  </si>
  <si>
    <t>Breeding swine</t>
  </si>
  <si>
    <t>Digester Type</t>
  </si>
  <si>
    <t>Cover Type</t>
  </si>
  <si>
    <t>Methane Leakage</t>
  </si>
  <si>
    <t>Fully Covered
(Bank-to-Bank)</t>
  </si>
  <si>
    <t>Partially Covered 
(Modular)</t>
  </si>
  <si>
    <t>0.95 x % area covered</t>
  </si>
  <si>
    <t>1 - (0.95 x % area covered)</t>
  </si>
  <si>
    <t>Complete mix, plug flow, or fixed film digester</t>
  </si>
  <si>
    <t>Enclosed Vessel</t>
  </si>
  <si>
    <t>Dairy cows 
(on feed)</t>
  </si>
  <si>
    <t>Heifers 
(on feed)</t>
  </si>
  <si>
    <t>Heifers 
(grazing)</t>
  </si>
  <si>
    <t>Alabama</t>
  </si>
  <si>
    <t>Alaska</t>
  </si>
  <si>
    <t>Arizona</t>
  </si>
  <si>
    <t>Arkansas</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</si>
  <si>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</si>
  <si>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</si>
  <si>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</si>
  <si>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</si>
  <si>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</si>
  <si>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</si>
  <si>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</si>
  <si>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</si>
  <si>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</si>
  <si>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</si>
  <si>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</si>
  <si>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</si>
  <si>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</si>
  <si>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</si>
  <si>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</si>
  <si>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</si>
  <si>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</si>
  <si>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</si>
  <si>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</si>
  <si>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</si>
  <si>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</si>
  <si>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</si>
  <si>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</si>
  <si>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</si>
  <si>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</si>
  <si>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</si>
  <si>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</si>
  <si>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</si>
  <si>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</si>
  <si>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</si>
  <si>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</si>
  <si>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</si>
  <si>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</si>
  <si>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</si>
  <si>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</si>
  <si>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</si>
  <si>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</si>
  <si>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</si>
  <si>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</si>
  <si>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</si>
  <si>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</si>
  <si>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</si>
  <si>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</si>
  <si>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</si>
  <si>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</si>
  <si>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Table A.5. IPCC 2006 Methane Conversion Factors by Manure Management System Component/Methane Source 'S'</t>
  </si>
  <si>
    <t>MCF Values by Temperature for Manure Management Systems</t>
  </si>
  <si>
    <t>MCFs by average reporting period temperature (°C)</t>
  </si>
  <si>
    <t>Cool</t>
  </si>
  <si>
    <t>Temperate</t>
  </si>
  <si>
    <t>Warm</t>
  </si>
  <si>
    <t>Comments</t>
  </si>
  <si>
    <t>System</t>
  </si>
  <si>
    <t>≤10</t>
  </si>
  <si>
    <t>≥28</t>
  </si>
  <si>
    <t>Pasture/Range/Paddock</t>
  </si>
  <si>
    <t>Judgment of IPCC Expert Group in combination with Hashimoto and Steed (1994).</t>
  </si>
  <si>
    <t>Daily spread</t>
  </si>
  <si>
    <t>Hashimoto and Steed (1993).</t>
  </si>
  <si>
    <t>Solid storage</t>
  </si>
  <si>
    <t>Judgment of IPCC Expert Group in combination with Amon et al. (2001), which shows emissions of approximately 2% in winter and 4% in summer. Warm climate is based on judgment of IPCC Expert Group and Amon et al. (1998).</t>
  </si>
  <si>
    <t>Dry lot</t>
  </si>
  <si>
    <t>Judgment of IPCC Expert Group in combination with Mangino et al. (2001) and Sommer (2000). The estimated reduction due to the crust cover (40%) is an annual average value based on a limited data set and can be highly variable dependent on temperature, rainfall, and composition.</t>
  </si>
  <si>
    <t xml:space="preserve">Judgment of IPCC Expert Group in combination with Mangino et al. (2001). </t>
  </si>
  <si>
    <t>Uncovered anaerobic lagoon</t>
  </si>
  <si>
    <t>Judgment of IPCC Expert Group in combination with Mangino et al. (2001). Uncovered lagoon MCFs vary based on several factors, including temperature, retention time, and loss of volatile solids from the system (through removal of lagoon effluent and/or solids).</t>
  </si>
  <si>
    <t>Judgment of IPCC Expert Group in combination with Moller et al. (2004) and Zeeman (1994). Note that the ambient temperature, not the stable temperature is to be used for determining the climatic conditions.</t>
  </si>
  <si>
    <t>Judgment of IPCC Expert Group in combination with Mangino et al. (2001). Note that the ambient temperature, not the stable temperature is to be used for determining the climatic conditions.</t>
  </si>
  <si>
    <t>Anaerobic digester</t>
  </si>
  <si>
    <t>Should be subdivided in different categories, considering amount of recovery of the biogas, flaring of the biogas and storage after digestion. Calculation with Formula 1.</t>
  </si>
  <si>
    <t>Burned for fuel</t>
  </si>
  <si>
    <t>Judgment of IPCC Expert Group in combination with Safley et al. (1992).</t>
  </si>
  <si>
    <t>Judgment of IPCC Expert Group in combination with Moller et al. (2004). Expect emissions to be similar, and possibly greater, than pit storage, depending on organic content and moisture content.</t>
  </si>
  <si>
    <t>Judgment of IPCC Expert Group in combination with Mangino et al. (2001).</t>
  </si>
  <si>
    <t>Composting - in-vessel or static pile</t>
  </si>
  <si>
    <t>Judgment of IPCC Expert Group and Amon et al. (1998). MCFs are less than half of solid storage. Not temperature dependant.</t>
  </si>
  <si>
    <t>Composting - passive or intensive windrow</t>
  </si>
  <si>
    <t>Judgment of IPCC Expert Group and Amon et al. (1998). MCFs are slightly less than solid storage. Less temperature dependant.</t>
  </si>
  <si>
    <t>Aerobic treatment</t>
  </si>
  <si>
    <t>MCFs are near zero. Aerobic treatment can result in the accumulation of sludge which may be treated in other systems. Sludge requires removal and has large VS values. It is important to identify the next management process for the sludge and estimate the emissions from that management process if significant.</t>
  </si>
  <si>
    <t>If available, the actual source test results for the measured methane destruction efficiency must be used in place of the default methane destruction efficiency. Otherwise, the Offset Project Operator or Authorized Project Designee must use the default methane destruction efficiencies provided below.</t>
  </si>
  <si>
    <t>Biogas Destruction Device</t>
  </si>
  <si>
    <t>Open Flare</t>
  </si>
  <si>
    <t>Enclosed Flare</t>
  </si>
  <si>
    <t>Lean-burn Internal Combustion Engine</t>
  </si>
  <si>
    <t>Rich-burn Internal Combustion Engine</t>
  </si>
  <si>
    <t>Boiler</t>
  </si>
  <si>
    <t>Microturbine or large gas turbine</t>
  </si>
  <si>
    <t>Upgrade and use of gas as CNG/LNG fuel</t>
  </si>
  <si>
    <t>Upgrade and injection into natural gas transmission and distribution pipeline</t>
  </si>
  <si>
    <t>Direct pipeline to an end-user</t>
  </si>
  <si>
    <t>Per corresponding destruction device</t>
  </si>
  <si>
    <t>Type of Solids Separation</t>
  </si>
  <si>
    <t>Gravity</t>
  </si>
  <si>
    <t>Mechanical:</t>
  </si>
  <si>
    <t>Stationary Screen</t>
  </si>
  <si>
    <t>Vibrating screen</t>
  </si>
  <si>
    <t>Screw press</t>
  </si>
  <si>
    <t>Centrifuge</t>
  </si>
  <si>
    <t>Roller drum</t>
  </si>
  <si>
    <t>Belt press/screen</t>
  </si>
  <si>
    <t xml:space="preserve">Manure Management Storage/Treatment Systems </t>
  </si>
  <si>
    <t>CTFP Program Overview</t>
  </si>
  <si>
    <t>Include avoided methane emissions? (1=Yes, 0=No)</t>
  </si>
  <si>
    <t>hph</t>
  </si>
  <si>
    <t>Length</t>
  </si>
  <si>
    <t>mm</t>
  </si>
  <si>
    <t>m</t>
  </si>
  <si>
    <t>km</t>
  </si>
  <si>
    <t>ft</t>
  </si>
  <si>
    <t>mi</t>
  </si>
  <si>
    <t>Gasoline blendstock</t>
  </si>
  <si>
    <t>Residual oil</t>
  </si>
  <si>
    <t>Methanol</t>
  </si>
  <si>
    <t>Ethanol</t>
  </si>
  <si>
    <t>Butane</t>
  </si>
  <si>
    <t>Propane</t>
  </si>
  <si>
    <t>U.S. conventional diesel</t>
  </si>
  <si>
    <t>Gasoline (E10)</t>
  </si>
  <si>
    <t>Renewable diesel (RD)</t>
  </si>
  <si>
    <t>Biodiesel (BD, methyl ester)</t>
  </si>
  <si>
    <t>C ratio</t>
  </si>
  <si>
    <t>%mass</t>
  </si>
  <si>
    <t>Unit Conversion</t>
  </si>
  <si>
    <t>Carbon Ratios of Pollutants</t>
  </si>
  <si>
    <t>Small Industrial Boiler (input: 10−100 mmBtu / hr)</t>
  </si>
  <si>
    <t>mmBtu, HHV</t>
  </si>
  <si>
    <t>mmBtu, LHV</t>
  </si>
  <si>
    <t>Fuel Specifications</t>
  </si>
  <si>
    <t>Typical Average Mass (kg)</t>
  </si>
  <si>
    <t>Btu / gal</t>
  </si>
  <si>
    <t>g / gal</t>
  </si>
  <si>
    <t>Table A.6. Biogas Destruction Efficiency (BDE) Default Values by Destruction Device</t>
  </si>
  <si>
    <t>BDE</t>
  </si>
  <si>
    <t>Table A.9. Volatile Solids (VS) Removed Through Solids Separation (modified)</t>
  </si>
  <si>
    <t>Pit storage below animal confinements, &gt;1 month</t>
  </si>
  <si>
    <t>Pit storage below animal confinements, &lt;1 month</t>
  </si>
  <si>
    <t>Cattle and swine deep bedding, &lt;1 month</t>
  </si>
  <si>
    <t>Cattle and swine deep bedding, &gt;1 month</t>
  </si>
  <si>
    <t>0−100%</t>
  </si>
  <si>
    <t>Emissions Factor Tables</t>
  </si>
  <si>
    <t>adapted by CARB from Table 10.17 of "Chapter 10: Emissions from Livestock and Manure Management" of "2006 IPCC Guidelines for National Greenhouse Gas Inventories"</t>
  </si>
  <si>
    <t>Cows 
(grazing)</t>
  </si>
  <si>
    <t>Btu</t>
  </si>
  <si>
    <t>mmBtu</t>
  </si>
  <si>
    <t>mL</t>
  </si>
  <si>
    <t>Table A.3. Biogas Collection Efficiency (BCE) by Digester Type</t>
  </si>
  <si>
    <t>BCE</t>
  </si>
  <si>
    <t>g / ft3</t>
  </si>
  <si>
    <t>Btu / ft3</t>
  </si>
  <si>
    <t>P1.2 Reporting Month</t>
  </si>
  <si>
    <t>g CO2e / MJ</t>
  </si>
  <si>
    <t>gallons</t>
  </si>
  <si>
    <t>2.6 
Flared Biogas Flow, metered</t>
  </si>
  <si>
    <t>2.4 
 Total Raw Biogas Flow, metered</t>
  </si>
  <si>
    <t>2.8
 Raw Biogas Flow to Upgrading, metered</t>
  </si>
  <si>
    <t>Raw Biogas Feedstock
(at inlet to cleanup/upgrading)</t>
  </si>
  <si>
    <t>(g / mmBtu)</t>
  </si>
  <si>
    <t>g CO2e / gal</t>
  </si>
  <si>
    <t>g CO2e / mmBtu</t>
  </si>
  <si>
    <t>g CO2e / kWh</t>
  </si>
  <si>
    <t>g CO2e / gallon</t>
  </si>
  <si>
    <t>%volume, methane</t>
  </si>
  <si>
    <t>g CO2e /gallon</t>
  </si>
  <si>
    <t>CI 
(g CO2e / mmBtu)</t>
  </si>
  <si>
    <t>CI 
(g CO2e / MJ)</t>
  </si>
  <si>
    <t>Output Results, g CO2e / MJ</t>
  </si>
  <si>
    <t>CI Breakdown (g CO2e / MJ)</t>
  </si>
  <si>
    <t>g CH4/ MJ</t>
  </si>
  <si>
    <t>Liquid/Slurry, uncovered</t>
  </si>
  <si>
    <t>Liquid/Slurry, w. natural crust cover</t>
  </si>
  <si>
    <t>Methane (scf)</t>
  </si>
  <si>
    <t>CI (g CO2e / mmBtu</t>
  </si>
  <si>
    <t>Final CNG CI (g / MJ</t>
  </si>
  <si>
    <t>Final LNG CI (g / MJ</t>
  </si>
  <si>
    <t>Final L-CNG CI (g / MJ</t>
  </si>
  <si>
    <t>Pathway Summary and Estimated CI (g / MJ)</t>
  </si>
  <si>
    <t>Fpw (scf / day)</t>
  </si>
  <si>
    <t>VSep,L 
(m3 CH4 / day)</t>
  </si>
  <si>
    <t>(VSL, dry kg / animal / day)</t>
  </si>
  <si>
    <t>VSL 
(dry kg / animal / day)</t>
  </si>
  <si>
    <t>(Bo,L , m3 CH4 / kg VS)</t>
  </si>
  <si>
    <t>Bo,L 
(m3 CH4 / kg VS)</t>
  </si>
  <si>
    <t>MT avoided / MT produced</t>
  </si>
  <si>
    <t>IPCC AR5 100-year Global Warming Potential (GWP) of GHGs relative to CO2</t>
  </si>
  <si>
    <t>Table A.4. 2012 Volatile Solid (VS) Default Values for Dairy Cows, Heifers, Heifers-Grazing and Cows-Grazing by State (kg  / day / 1,000 kg mass)</t>
  </si>
  <si>
    <t>Grid Electricity
 (2022 eGRID Region)</t>
  </si>
  <si>
    <t>mmBtu (LHV) / month</t>
  </si>
  <si>
    <t>source: CARB (2014) "Compliance Offset Protocol Livestock Projects", Appendix A</t>
  </si>
  <si>
    <t>g CO2e / MJ (LHV)-mile</t>
  </si>
  <si>
    <t>Manure to CNG, LNG</t>
  </si>
  <si>
    <t>CI for Compression of CNG</t>
  </si>
  <si>
    <t>by pipeline to CNG Refueling Station</t>
  </si>
  <si>
    <t>%volume / mile</t>
  </si>
  <si>
    <t>Average Total Livestock Population</t>
  </si>
  <si>
    <t>Average Ambient Temperature</t>
  </si>
  <si>
    <t>NG Flaring</t>
  </si>
  <si>
    <t>NM-GREET v1.0 Emission Factors (EFs)</t>
  </si>
  <si>
    <t>Directly flared biogas</t>
  </si>
  <si>
    <t>Monthly Average
(MT CH4 / month)</t>
  </si>
  <si>
    <t>L4.10
Annual Project Methane Emission from Effluent Ponds</t>
  </si>
  <si>
    <t>Biogenic CO2</t>
  </si>
  <si>
    <t>GHG EF Units</t>
  </si>
  <si>
    <t>GHG EF</t>
  </si>
  <si>
    <t/>
  </si>
  <si>
    <t>L4.5 Fraction of VS Sent to BCS System</t>
  </si>
  <si>
    <t>User-Defined Fuel-1 (MJ, LHV)</t>
  </si>
  <si>
    <t>User-Defined Fuel-2 (MJ, LHV)</t>
  </si>
  <si>
    <t>User-Defined Fuel-3 (MJ, LHV)</t>
  </si>
  <si>
    <t>L4.7
Methane Potential of VS to Effluent Ponds</t>
  </si>
  <si>
    <t>L4.6
Fraction of VS Removed before Effluent sent to Effluent Ponds</t>
  </si>
  <si>
    <t>NM-GREET v1.0 Input</t>
  </si>
  <si>
    <t>Fuels used in pathway</t>
  </si>
  <si>
    <t>(g / MJ)</t>
  </si>
  <si>
    <t>%energy</t>
  </si>
  <si>
    <t>2) LNG CI Breakdown (g CO2e / MJ, LHV)</t>
  </si>
  <si>
    <t>1) CNG CI Breakdown (g CO2e / MJ, LHV)</t>
  </si>
  <si>
    <t>Conservative Margin of Safety</t>
  </si>
  <si>
    <t>Total CI</t>
  </si>
  <si>
    <t>LNG Dispensing Fugitives</t>
  </si>
  <si>
    <t>g CO2e / mmBtu, LHV</t>
  </si>
  <si>
    <t>NG Transport,
680 miles</t>
  </si>
  <si>
    <t>CH4, combustion</t>
  </si>
  <si>
    <t>(g / mmBtu heat)</t>
  </si>
  <si>
    <t>LNG 
Truck
+Storage</t>
  </si>
  <si>
    <t>Biomethane</t>
  </si>
  <si>
    <t>On-Site Electricity</t>
  </si>
  <si>
    <t>Total (g CO2e / kWh electricity):</t>
  </si>
  <si>
    <t>Total 
(g CO2e / mmBtu)</t>
  </si>
  <si>
    <t>g CO2e / 
kWh</t>
  </si>
  <si>
    <t>Biogas Upgrading &amp; Compression &amp; Biomethane transport</t>
  </si>
  <si>
    <t>3.2 Liquefaction EF (g CO2e / gallon LNG at liquefaction plant gate)</t>
  </si>
  <si>
    <t>3.3 Transport Distance from Liquefaction Plant to Refueling Station by HD Truck (miles)</t>
  </si>
  <si>
    <t>Fuel Name</t>
  </si>
  <si>
    <t>NG</t>
  </si>
  <si>
    <t>Grid Electricity</t>
  </si>
  <si>
    <t>LPG</t>
  </si>
  <si>
    <t>Flaring</t>
  </si>
  <si>
    <t>Process Heat</t>
  </si>
  <si>
    <t>On-Road Vehicle</t>
  </si>
  <si>
    <t>CH4, non-combustion</t>
  </si>
  <si>
    <t>3.5 Dispensed LNG L-CNG (mmBtu, LHV)</t>
  </si>
  <si>
    <t>g CO2e / mile-mmBtu, LHV</t>
  </si>
  <si>
    <t>Biomethane Sales Gas (delivered to qualifying end use)</t>
  </si>
  <si>
    <t>Natural Gas (NG) EFs for Stationary Uses (g / mmBtu of NG)</t>
  </si>
  <si>
    <t>Internally Consumed (On-site) Electricity from Biogas</t>
  </si>
  <si>
    <t>Calculations Based on Select Equations from CARB's 
"Compliance Offset Protocol Livestock Projects" (LOP)</t>
  </si>
  <si>
    <t>[CARB, 2014]</t>
  </si>
  <si>
    <t>Section P1. Results from the "ManureToBiogas" tab</t>
  </si>
  <si>
    <t>Tier 1 Pathway Application Process</t>
  </si>
  <si>
    <t>Methane in tail gas flared (from upgrading)</t>
  </si>
  <si>
    <t>Methane associated with onsite electricity production</t>
  </si>
  <si>
    <t>%  alloc. factor for CH4 avoided (vehicle use)</t>
  </si>
  <si>
    <t>Net CH4 avoided, allocated to biomethane</t>
  </si>
  <si>
    <t>Net allocated MT CH4 avoided per MT biomethane</t>
  </si>
  <si>
    <t>Avoided (g CO2e) per Biomethane output:</t>
  </si>
  <si>
    <t>Avoided (g CH4) per MJ Biomethane</t>
  </si>
  <si>
    <t>1.3  Facility Physical Address
(Upgrading facility for Biomethane)</t>
  </si>
  <si>
    <t>On-site Electricity Production From Biomethane</t>
  </si>
  <si>
    <t>2.10
Grid Electricity (for digester )</t>
  </si>
  <si>
    <t>2.11
Raw Biogas (for digester )</t>
  </si>
  <si>
    <t>2.12
Biomethane (for digester )</t>
  </si>
  <si>
    <t>2.13
Utility Sourced NG (for digester)</t>
  </si>
  <si>
    <t>2.14
Diesel (digester project manure transport and handling)</t>
  </si>
  <si>
    <t>2.15
Other Fuel Used
(for digester )</t>
  </si>
  <si>
    <t>2.16
Utility Sourced NG (upgrading and compression)</t>
  </si>
  <si>
    <t>2.17
Raw Biogas (as process fuel for upgrading and compression)</t>
  </si>
  <si>
    <t>2.18
Biomethane (as process fuel for upgrading and compression)</t>
  </si>
  <si>
    <t xml:space="preserve"> 2.19
On-Site Electricity from Biogas (upgrading and compression)</t>
  </si>
  <si>
    <t xml:space="preserve">2.20
Grid Electricity (upgrading and compression) </t>
  </si>
  <si>
    <t>2.21
Diesel 
(upgrading and compression)</t>
  </si>
  <si>
    <t>2.22
Other fuel used 
(upgrading and compression)</t>
  </si>
  <si>
    <t>2.23
Buy-back NG 
(boost Btu prior to pipeline injection)</t>
  </si>
  <si>
    <t>2.24
Propane used 
(boost Btu prior to pipeline injection)</t>
  </si>
  <si>
    <t>2.25
Fuel used for Biomethane transport</t>
  </si>
  <si>
    <t>2.26
Flared tail gas from upgrading, including biomethane (metered)</t>
  </si>
  <si>
    <t>2.27
Flared Gas Biomethane Content</t>
  </si>
  <si>
    <t>2.28
Biomethane Injected into Pipeline for Transportation Fuel Production (metered), 
(subtract buy-back NG and propane if used to boost Btu)</t>
  </si>
  <si>
    <t>2.29
Biomethane to Electricity Production</t>
  </si>
  <si>
    <t>2.30
 On-site Electricity Production</t>
  </si>
  <si>
    <t>2.31
Export Electricity</t>
  </si>
  <si>
    <t>2.32
NG Pipeline Transmission</t>
  </si>
  <si>
    <t>2.34 Fugitive methane from upgrading (%)</t>
  </si>
  <si>
    <t>2.35 Maximum available biomethane CNG for dispensing (mmBtu, LHV)</t>
  </si>
  <si>
    <t>2.36 Maximum available CNG+LNG biomethane for dispensing (mmBtu, LHV)</t>
  </si>
  <si>
    <t>Pipeline Distance to CNG Dispensing Station(s)</t>
  </si>
  <si>
    <t>CTFP Website Resources</t>
  </si>
  <si>
    <t>The Tier 1 Calculator for Biomethane from Anaerobic Digestion of Dairy and Swine Manure (T1 DSM Calculator) offers a simplified interface for calculating the Carbon intensity (CI) of biomethane produced from the anaerobic digestion of dairy and swine manure. To begin, please navigate to the "ManureToBiogas", "BiogasToBiomethane", and "AvoidedEmissions" worksheets and enter all relevant data. Inputs entered by the applicant are limited to user input cells and must be supported by records. All user inputs are subject to verification as part of initial pathway certification and annual fuel pathway reporting. Inputs that do not apply to the fuel pathway may be left blank. Cells containing calculated or predefined input values may not be modified without NMED approval through the CTFP-DMS and the Tier 2 pathway process (as applicable). 
The CI summary is provided in the "PathwaySummary" worksheet. A conservative margin of safety may be added to the calculated CI in this worksheet to establish the final CI. Pathway-specific Operating Conditions may be added by NMED prior to pathway certification. For annual fuel pathway reporting, the operational CI must be calculated using the most recent two calendar years (24 months) of operational data, using the applicable Tier 1 calculator in effect at the time of reporting.
Notes:
1. "ManureToBiogas" worksheet
    • Annual lagoon cleanout is required for the baseline modeling (Fields L1.(1-6).15) for both Tier 1 and Tier 2 pathways. Please refer to the Instruction Manual of the calculator for more details. 
    • Field L3.1 is not a user input, to adjust the operational data period, please update Field 2.3 in the "BiogasToBiomethane" worksheet. 
    • Please select either "12" or "24”  months for Field L1.1.2. If the number of baseline reporting month entered in Fields L1.(1-6).7 does not match the entry in Field L1.1.2, an "ERROR" message will appear in the total baseline methane emission from Anaerobic Storage/Treatment Systems (cells N33, AB33, AP33, BD33, BR33, and CF33). For both initial pathway certification and annual fuel pathway reporting, use the baseline reporting period required by the current NMED Calculator and guidance for this pathway. If 24 months of eligible baseline data are available, use 24 months. Once 24 months are selected for the baseline reporting period, the applicant should continue to model the 24‑month baseline in subsequent annual fuel pathway reports unless NMED approves a different approach.
    • Calculated herd populations are not allowed to establish the initial VS carryover (Fields L1.(1-6).16). If herd populations used to establish the initial VS carryover are not verifiable, enter zero for the initial VS carryover. 
2. "BiogasToBiomethane" worksheet
    • For Section 1, the "Company Name" represents the fuel pathway applicant ("Fuel Producer" in AFP), whereas the "Facility Name" represents the fuel production facility ("Facility" in the AFP).
    •If the fuel production facility has been in full commercial production for at least 90 calendar days but less than 24 months, the registered party may apply for an alternative fuel pathway with provisional status, consistent with 20.2.92.205(C) NMAC and 20.2.92.202(D)(3) NMAC. The project reporting month populated in Field 2.3 must be entirely covered by the baseline reporting month populated in Fields L1.(1-6).7 in the "ManureToBiogas" worksheet. If the number of project reporting months is fewer than the number of baseline reporting months, the project reporting month must align with the latest baseline reporting month.    
    • Annual Fuel Pathway Reports must be prepared using the most recent two calendar years (24 months) of project operational data. If fewer than 24 months of operational data exist, the applicant must report all available months and must not omit months to select a favorable subset. The calculator’s “Number of Project Reporting Months” must equal 24 for Annual Fuel Pathway Reports once 24 months of data exist.
    • Please enter the name of each intermediate facility included in this fuel pathway in Field 1.11. All intermediate facilities must also be registered in the AFP to align with the legal name of the facility or with US EPA facility registration. Please consult current NMED program materials for intermediate facility identification and registration requirements.
This calculator contains macros. If using Microsoft Excel, users will have to select the "Enable Content" button upon opening this calculator. In order to ensure that CI calculations reflect the most recent inputs, select "Automatic" calculation from the "Calculation Options" in the "Formulas toolbar, or click a "Calculate" button or press F9 (if using Microsoft Excel).</t>
  </si>
  <si>
    <r>
      <t>Baseline CH</t>
    </r>
    <r>
      <rPr>
        <vertAlign val="subscript"/>
        <sz val="11"/>
        <color rgb="FFFFFFFF"/>
        <rFont val="Arial"/>
        <family val="2"/>
      </rPr>
      <t xml:space="preserve">4 </t>
    </r>
    <r>
      <rPr>
        <sz val="11"/>
        <color rgb="FFFFFFFF"/>
        <rFont val="Arial"/>
        <family val="2"/>
      </rPr>
      <t>emissions from anaerobic storage/treatment systems</t>
    </r>
  </si>
  <si>
    <r>
      <t>MT CH</t>
    </r>
    <r>
      <rPr>
        <vertAlign val="subscript"/>
        <sz val="11"/>
        <color rgb="FFFFFFFF"/>
        <rFont val="Arial"/>
        <family val="2"/>
      </rPr>
      <t>4</t>
    </r>
    <r>
      <rPr>
        <sz val="11"/>
        <color rgb="FFFFFFFF"/>
        <rFont val="Arial"/>
        <family val="2"/>
      </rPr>
      <t xml:space="preserve"> / month</t>
    </r>
  </si>
  <si>
    <r>
      <t>Baseline CH</t>
    </r>
    <r>
      <rPr>
        <vertAlign val="subscript"/>
        <sz val="11"/>
        <color rgb="FFFFFFFF"/>
        <rFont val="Arial"/>
        <family val="2"/>
      </rPr>
      <t xml:space="preserve">4 </t>
    </r>
    <r>
      <rPr>
        <sz val="11"/>
        <color rgb="FFFFFFFF"/>
        <rFont val="Arial"/>
        <family val="2"/>
      </rPr>
      <t>emissions from non-anaerobic storage/treatment systems</t>
    </r>
  </si>
  <si>
    <r>
      <t>Total Baseline CH</t>
    </r>
    <r>
      <rPr>
        <b/>
        <vertAlign val="subscript"/>
        <sz val="11"/>
        <color rgb="FFFFFFFF"/>
        <rFont val="Arial"/>
        <family val="2"/>
      </rPr>
      <t xml:space="preserve">4 </t>
    </r>
    <r>
      <rPr>
        <b/>
        <sz val="11"/>
        <color rgb="FFFFFFFF"/>
        <rFont val="Arial"/>
        <family val="2"/>
      </rPr>
      <t>emissions</t>
    </r>
  </si>
  <si>
    <r>
      <t>MT CH</t>
    </r>
    <r>
      <rPr>
        <b/>
        <vertAlign val="subscript"/>
        <sz val="11"/>
        <color rgb="FFFFFFFF"/>
        <rFont val="Arial"/>
        <family val="2"/>
      </rPr>
      <t>4</t>
    </r>
    <r>
      <rPr>
        <b/>
        <sz val="11"/>
        <color rgb="FFFFFFFF"/>
        <rFont val="Arial"/>
        <family val="2"/>
      </rPr>
      <t xml:space="preserve"> / month</t>
    </r>
  </si>
  <si>
    <r>
      <t>CH</t>
    </r>
    <r>
      <rPr>
        <vertAlign val="subscript"/>
        <sz val="11"/>
        <color rgb="FFFFFFFF"/>
        <rFont val="Arial"/>
        <family val="2"/>
      </rPr>
      <t>4</t>
    </r>
    <r>
      <rPr>
        <sz val="11"/>
        <color rgb="FFFFFFFF"/>
        <rFont val="Arial"/>
        <family val="2"/>
      </rPr>
      <t xml:space="preserve"> emissions from venting events </t>
    </r>
  </si>
  <si>
    <r>
      <t>CH</t>
    </r>
    <r>
      <rPr>
        <vertAlign val="subscript"/>
        <sz val="11"/>
        <color rgb="FFFFFFFF"/>
        <rFont val="Arial"/>
        <family val="2"/>
      </rPr>
      <t>4</t>
    </r>
    <r>
      <rPr>
        <sz val="11"/>
        <color rgb="FFFFFFFF"/>
        <rFont val="Arial"/>
        <family val="2"/>
      </rPr>
      <t xml:space="preserve"> emissions from effluent pond(s) </t>
    </r>
  </si>
  <si>
    <r>
      <t>CH</t>
    </r>
    <r>
      <rPr>
        <vertAlign val="subscript"/>
        <sz val="11"/>
        <color rgb="FFFFFFFF"/>
        <rFont val="Arial"/>
        <family val="2"/>
      </rPr>
      <t>4</t>
    </r>
    <r>
      <rPr>
        <sz val="11"/>
        <color rgb="FFFFFFFF"/>
        <rFont val="Arial"/>
        <family val="2"/>
      </rPr>
      <t xml:space="preserve"> emissions from non-BCS-related sources</t>
    </r>
  </si>
  <si>
    <r>
      <t>Total Project CH</t>
    </r>
    <r>
      <rPr>
        <b/>
        <vertAlign val="subscript"/>
        <sz val="11"/>
        <color rgb="FFFFFFFF"/>
        <rFont val="Arial"/>
        <family val="2"/>
      </rPr>
      <t xml:space="preserve">4 </t>
    </r>
    <r>
      <rPr>
        <b/>
        <sz val="11"/>
        <color rgb="FFFFFFFF"/>
        <rFont val="Arial"/>
        <family val="2"/>
      </rPr>
      <t>emissions</t>
    </r>
  </si>
  <si>
    <r>
      <t>Net reduction in CH</t>
    </r>
    <r>
      <rPr>
        <b/>
        <vertAlign val="subscript"/>
        <sz val="11"/>
        <color rgb="FFFFFFFF"/>
        <rFont val="Arial"/>
        <family val="2"/>
      </rPr>
      <t>4</t>
    </r>
    <r>
      <rPr>
        <b/>
        <sz val="11"/>
        <color rgb="FFFFFFFF"/>
        <rFont val="Arial"/>
        <family val="2"/>
      </rPr>
      <t xml:space="preserve"> emissions from baseline</t>
    </r>
  </si>
  <si>
    <r>
      <t>Section L1: Baseline Methane Emissions from Anaerobic Storage/Treatment Systems (BE</t>
    </r>
    <r>
      <rPr>
        <b/>
        <vertAlign val="subscript"/>
        <sz val="16"/>
        <color rgb="FFFFFFFF"/>
        <rFont val="Calibri"/>
        <family val="2"/>
        <scheme val="minor"/>
      </rPr>
      <t>CH4,AS</t>
    </r>
    <r>
      <rPr>
        <b/>
        <sz val="16"/>
        <color rgb="FFFFFFFF"/>
        <rFont val="Calibri"/>
        <family val="2"/>
        <scheme val="minor"/>
      </rPr>
      <t>) (Reference: [Equation 5.3 in LOP])</t>
    </r>
  </si>
  <si>
    <r>
      <t>P</t>
    </r>
    <r>
      <rPr>
        <b/>
        <vertAlign val="subscript"/>
        <sz val="12"/>
        <color rgb="FFFFFFFF"/>
        <rFont val="Calibri"/>
        <family val="2"/>
        <scheme val="minor"/>
      </rPr>
      <t>L</t>
    </r>
  </si>
  <si>
    <r>
      <t>RD</t>
    </r>
    <r>
      <rPr>
        <b/>
        <vertAlign val="subscript"/>
        <sz val="12"/>
        <color rgb="FFFFFFFF"/>
        <rFont val="Calibri"/>
        <family val="2"/>
        <scheme val="minor"/>
      </rPr>
      <t xml:space="preserve">rm </t>
    </r>
    <r>
      <rPr>
        <b/>
        <sz val="12"/>
        <color rgb="FFFFFFFF"/>
        <rFont val="Calibri"/>
        <family val="2"/>
        <scheme val="minor"/>
      </rPr>
      <t xml:space="preserve"> (days)</t>
    </r>
  </si>
  <si>
    <r>
      <t>T</t>
    </r>
    <r>
      <rPr>
        <b/>
        <vertAlign val="subscript"/>
        <sz val="12"/>
        <color rgb="FFFFFFFF"/>
        <rFont val="Calibri"/>
        <family val="2"/>
        <scheme val="minor"/>
      </rPr>
      <t>2</t>
    </r>
    <r>
      <rPr>
        <b/>
        <sz val="12"/>
        <color rgb="FFFFFFFF"/>
        <rFont val="Calibri"/>
        <family val="2"/>
        <scheme val="minor"/>
      </rPr>
      <t xml:space="preserve"> (°C)</t>
    </r>
  </si>
  <si>
    <r>
      <t>MS</t>
    </r>
    <r>
      <rPr>
        <b/>
        <vertAlign val="subscript"/>
        <sz val="12"/>
        <color rgb="FFFFFFFF"/>
        <rFont val="Calibri"/>
        <family val="2"/>
        <scheme val="minor"/>
      </rPr>
      <t>AS,L</t>
    </r>
    <r>
      <rPr>
        <b/>
        <sz val="12"/>
        <color rgb="FFFFFFFF"/>
        <rFont val="Calibri"/>
        <family val="2"/>
        <scheme val="minor"/>
      </rPr>
      <t xml:space="preserve"> (fraction)</t>
    </r>
  </si>
  <si>
    <r>
      <t>VS</t>
    </r>
    <r>
      <rPr>
        <b/>
        <vertAlign val="subscript"/>
        <sz val="12"/>
        <color rgb="FFFFFFFF"/>
        <rFont val="Calibri"/>
        <family val="2"/>
        <scheme val="minor"/>
      </rPr>
      <t>avail,AS</t>
    </r>
    <r>
      <rPr>
        <b/>
        <sz val="12"/>
        <color rgb="FFFFFFFF"/>
        <rFont val="Calibri"/>
        <family val="2"/>
        <scheme val="minor"/>
      </rPr>
      <t xml:space="preserve"> (kg)</t>
    </r>
  </si>
  <si>
    <r>
      <t>(VS</t>
    </r>
    <r>
      <rPr>
        <b/>
        <vertAlign val="subscript"/>
        <sz val="12"/>
        <color rgb="FFFFFFFF"/>
        <rFont val="Calibri"/>
        <family val="2"/>
        <scheme val="minor"/>
      </rPr>
      <t xml:space="preserve">avail-1,AS </t>
    </r>
    <r>
      <rPr>
        <b/>
        <sz val="12"/>
        <color rgb="FFFFFFFF"/>
        <rFont val="Calibri"/>
        <family val="2"/>
        <scheme val="minor"/>
      </rPr>
      <t>-VS</t>
    </r>
    <r>
      <rPr>
        <b/>
        <vertAlign val="subscript"/>
        <sz val="12"/>
        <color rgb="FFFFFFFF"/>
        <rFont val="Calibri"/>
        <family val="2"/>
        <scheme val="minor"/>
      </rPr>
      <t>deg-1,AS</t>
    </r>
    <r>
      <rPr>
        <b/>
        <sz val="12"/>
        <color rgb="FFFFFFFF"/>
        <rFont val="Calibri"/>
        <family val="2"/>
        <scheme val="minor"/>
      </rPr>
      <t>) (kg)</t>
    </r>
  </si>
  <si>
    <r>
      <t>VS</t>
    </r>
    <r>
      <rPr>
        <b/>
        <vertAlign val="subscript"/>
        <sz val="12"/>
        <color rgb="FFFFFFFF"/>
        <rFont val="Calibri"/>
        <family val="2"/>
        <scheme val="minor"/>
      </rPr>
      <t>deg,AS</t>
    </r>
    <r>
      <rPr>
        <b/>
        <sz val="12"/>
        <color rgb="FFFFFFFF"/>
        <rFont val="Calibri"/>
        <family val="2"/>
        <scheme val="minor"/>
      </rPr>
      <t xml:space="preserve"> (kg)</t>
    </r>
  </si>
  <si>
    <r>
      <t>BE</t>
    </r>
    <r>
      <rPr>
        <b/>
        <vertAlign val="subscript"/>
        <sz val="12"/>
        <color rgb="FFFFFFFF"/>
        <rFont val="Calibri"/>
        <family val="2"/>
        <scheme val="minor"/>
      </rPr>
      <t>CH4,AS</t>
    </r>
    <r>
      <rPr>
        <b/>
        <sz val="12"/>
        <color rgb="FFFFFFFF"/>
        <rFont val="Calibri"/>
        <family val="2"/>
        <scheme val="minor"/>
      </rPr>
      <t xml:space="preserve"> (MT CH</t>
    </r>
    <r>
      <rPr>
        <b/>
        <vertAlign val="subscript"/>
        <sz val="12"/>
        <color rgb="FFFFFFFF"/>
        <rFont val="Calibri"/>
        <family val="2"/>
        <scheme val="minor"/>
      </rPr>
      <t>4</t>
    </r>
    <r>
      <rPr>
        <b/>
        <sz val="12"/>
        <color rgb="FFFFFFFF"/>
        <rFont val="Calibri"/>
        <family val="2"/>
        <scheme val="minor"/>
      </rPr>
      <t>)</t>
    </r>
  </si>
  <si>
    <r>
      <t>(Mass</t>
    </r>
    <r>
      <rPr>
        <b/>
        <vertAlign val="subscript"/>
        <sz val="12"/>
        <color rgb="FFFFFFFF"/>
        <rFont val="Calibri"/>
        <family val="2"/>
        <scheme val="minor"/>
      </rPr>
      <t>L</t>
    </r>
    <r>
      <rPr>
        <b/>
        <sz val="12"/>
        <color rgb="FFFFFFFF"/>
        <rFont val="Calibri"/>
        <family val="2"/>
        <scheme val="minor"/>
      </rPr>
      <t>, kg)</t>
    </r>
  </si>
  <si>
    <r>
      <t>L1.1.4 Maximum CH</t>
    </r>
    <r>
      <rPr>
        <b/>
        <vertAlign val="subscript"/>
        <sz val="12"/>
        <color rgb="FFFFFFFF"/>
        <rFont val="Calibri"/>
        <family val="2"/>
        <scheme val="minor"/>
      </rPr>
      <t>4</t>
    </r>
    <r>
      <rPr>
        <b/>
        <sz val="12"/>
        <color rgb="FFFFFFFF"/>
        <rFont val="Calibri"/>
        <family val="2"/>
        <scheme val="minor"/>
      </rPr>
      <t xml:space="preserve"> Potential</t>
    </r>
  </si>
  <si>
    <r>
      <t>L1.2.4 Maximum CH</t>
    </r>
    <r>
      <rPr>
        <b/>
        <vertAlign val="subscript"/>
        <sz val="12"/>
        <color rgb="FFFFFFFF"/>
        <rFont val="Calibri"/>
        <family val="2"/>
        <scheme val="minor"/>
      </rPr>
      <t>4</t>
    </r>
    <r>
      <rPr>
        <b/>
        <sz val="12"/>
        <color rgb="FFFFFFFF"/>
        <rFont val="Calibri"/>
        <family val="2"/>
        <scheme val="minor"/>
      </rPr>
      <t xml:space="preserve"> Potential</t>
    </r>
  </si>
  <si>
    <r>
      <t>L1.3.4 Maximum CH</t>
    </r>
    <r>
      <rPr>
        <b/>
        <vertAlign val="subscript"/>
        <sz val="12"/>
        <color rgb="FFFFFFFF"/>
        <rFont val="Calibri"/>
        <family val="2"/>
        <scheme val="minor"/>
      </rPr>
      <t>4</t>
    </r>
    <r>
      <rPr>
        <b/>
        <sz val="12"/>
        <color rgb="FFFFFFFF"/>
        <rFont val="Calibri"/>
        <family val="2"/>
        <scheme val="minor"/>
      </rPr>
      <t xml:space="preserve"> Potential</t>
    </r>
  </si>
  <si>
    <r>
      <t>L1.4.4 Maximum CH</t>
    </r>
    <r>
      <rPr>
        <b/>
        <vertAlign val="subscript"/>
        <sz val="12"/>
        <color rgb="FFFFFFFF"/>
        <rFont val="Calibri"/>
        <family val="2"/>
        <scheme val="minor"/>
      </rPr>
      <t>4</t>
    </r>
    <r>
      <rPr>
        <b/>
        <sz val="12"/>
        <color rgb="FFFFFFFF"/>
        <rFont val="Calibri"/>
        <family val="2"/>
        <scheme val="minor"/>
      </rPr>
      <t xml:space="preserve"> Potential</t>
    </r>
  </si>
  <si>
    <r>
      <t>L1.5.4 Maximum CH</t>
    </r>
    <r>
      <rPr>
        <b/>
        <vertAlign val="subscript"/>
        <sz val="12"/>
        <color rgb="FFFFFFFF"/>
        <rFont val="Calibri"/>
        <family val="2"/>
        <scheme val="minor"/>
      </rPr>
      <t>4</t>
    </r>
    <r>
      <rPr>
        <b/>
        <sz val="12"/>
        <color rgb="FFFFFFFF"/>
        <rFont val="Calibri"/>
        <family val="2"/>
        <scheme val="minor"/>
      </rPr>
      <t xml:space="preserve"> Potential</t>
    </r>
  </si>
  <si>
    <r>
      <t>L1.6.4 Maximum CH</t>
    </r>
    <r>
      <rPr>
        <b/>
        <vertAlign val="subscript"/>
        <sz val="12"/>
        <color rgb="FFFFFFFF"/>
        <rFont val="Calibri"/>
        <family val="2"/>
        <scheme val="minor"/>
      </rPr>
      <t>4</t>
    </r>
    <r>
      <rPr>
        <b/>
        <sz val="12"/>
        <color rgb="FFFFFFFF"/>
        <rFont val="Calibri"/>
        <family val="2"/>
        <scheme val="minor"/>
      </rPr>
      <t xml:space="preserve"> Potential</t>
    </r>
  </si>
  <si>
    <r>
      <t>Section L2: Baseline Methane Emissions from Other Storage/Treatment Systems (BE</t>
    </r>
    <r>
      <rPr>
        <b/>
        <vertAlign val="subscript"/>
        <sz val="16"/>
        <color rgb="FFFFFFFF"/>
        <rFont val="Calibri"/>
        <family val="2"/>
        <scheme val="minor"/>
      </rPr>
      <t>CH4,nAS</t>
    </r>
    <r>
      <rPr>
        <b/>
        <sz val="16"/>
        <color rgb="FFFFFFFF"/>
        <rFont val="Calibri"/>
        <family val="2"/>
        <scheme val="minor"/>
      </rPr>
      <t>) (Reference:[Equation 5.4 in LOP])</t>
    </r>
  </si>
  <si>
    <r>
      <t>L2.2  Methane Conversion Factor 
(MCF</t>
    </r>
    <r>
      <rPr>
        <b/>
        <vertAlign val="subscript"/>
        <sz val="12"/>
        <color rgb="FFFFFFFF"/>
        <rFont val="Calibri"/>
        <family val="2"/>
        <scheme val="minor"/>
      </rPr>
      <t>nAS</t>
    </r>
    <r>
      <rPr>
        <b/>
        <sz val="12"/>
        <color rgb="FFFFFFFF"/>
        <rFont val="Calibri"/>
        <family val="2"/>
        <scheme val="minor"/>
      </rPr>
      <t>, fraction)</t>
    </r>
  </si>
  <si>
    <r>
      <t>L2.3
Manure Managed in Other Storage/Treatment System (MS</t>
    </r>
    <r>
      <rPr>
        <b/>
        <vertAlign val="subscript"/>
        <sz val="12"/>
        <color rgb="FFFFFFFF"/>
        <rFont val="Calibri"/>
        <family val="2"/>
        <scheme val="minor"/>
      </rPr>
      <t>L,nAS</t>
    </r>
    <r>
      <rPr>
        <b/>
        <sz val="12"/>
        <color rgb="FFFFFFFF"/>
        <rFont val="Calibri"/>
        <family val="2"/>
        <scheme val="minor"/>
      </rPr>
      <t>, fraction)</t>
    </r>
  </si>
  <si>
    <r>
      <t>Section L3: Project Methane Emissions from Venting Events (</t>
    </r>
    <r>
      <rPr>
        <b/>
        <i/>
        <sz val="16"/>
        <color rgb="FFFFFFFF"/>
        <rFont val="Calibri"/>
        <family val="2"/>
        <scheme val="minor"/>
      </rPr>
      <t>CH</t>
    </r>
    <r>
      <rPr>
        <b/>
        <i/>
        <vertAlign val="subscript"/>
        <sz val="16"/>
        <color rgb="FFFFFFFF"/>
        <rFont val="Calibri"/>
        <family val="2"/>
        <scheme val="minor"/>
      </rPr>
      <t>4 vent</t>
    </r>
    <r>
      <rPr>
        <b/>
        <sz val="16"/>
        <color rgb="FFFFFFFF"/>
        <rFont val="Calibri"/>
        <family val="2"/>
        <scheme val="minor"/>
      </rPr>
      <t>) in the Biogas Control System (BCS) (Reference: [Equation 5.6-Venting in LOP])</t>
    </r>
  </si>
  <si>
    <r>
      <t>L3.2</t>
    </r>
    <r>
      <rPr>
        <sz val="12"/>
        <color rgb="FFFFFFFF"/>
        <rFont val="Calibri"/>
        <family val="2"/>
        <scheme val="minor"/>
      </rPr>
      <t xml:space="preserve">
</t>
    </r>
    <r>
      <rPr>
        <b/>
        <sz val="12"/>
        <color rgb="FFFFFFFF"/>
        <rFont val="Calibri"/>
        <family val="2"/>
        <scheme val="minor"/>
      </rPr>
      <t>Maximum Biogas Storage of the BCS System</t>
    </r>
  </si>
  <si>
    <r>
      <t>MS</t>
    </r>
    <r>
      <rPr>
        <b/>
        <vertAlign val="subscript"/>
        <sz val="12"/>
        <color rgb="FFFFFFFF"/>
        <rFont val="Calibri"/>
        <family val="2"/>
        <scheme val="minor"/>
      </rPr>
      <t>BCS</t>
    </r>
    <r>
      <rPr>
        <b/>
        <sz val="12"/>
        <color rgb="FFFFFFFF"/>
        <rFont val="Calibri"/>
        <family val="2"/>
        <scheme val="minor"/>
      </rPr>
      <t xml:space="preserve"> (scf)</t>
    </r>
  </si>
  <si>
    <r>
      <t>C</t>
    </r>
    <r>
      <rPr>
        <b/>
        <vertAlign val="subscript"/>
        <sz val="12"/>
        <color rgb="FFFFFFFF"/>
        <rFont val="Calibri"/>
        <family val="2"/>
        <scheme val="minor"/>
      </rPr>
      <t>CH4</t>
    </r>
    <r>
      <rPr>
        <b/>
        <sz val="12"/>
        <color rgb="FFFFFFFF"/>
        <rFont val="Calibri"/>
        <family val="2"/>
        <scheme val="minor"/>
      </rPr>
      <t xml:space="preserve"> (fraction)</t>
    </r>
  </si>
  <si>
    <r>
      <t>Standard Cubic Feet 
@ 60</t>
    </r>
    <r>
      <rPr>
        <b/>
        <vertAlign val="superscript"/>
        <sz val="12"/>
        <color rgb="FFFFFFFF"/>
        <rFont val="Calibri"/>
        <family val="2"/>
        <scheme val="minor"/>
      </rPr>
      <t>o</t>
    </r>
    <r>
      <rPr>
        <b/>
        <sz val="12"/>
        <color rgb="FFFFFFFF"/>
        <rFont val="Calibri"/>
        <family val="2"/>
        <scheme val="minor"/>
      </rPr>
      <t>F, 1 atm</t>
    </r>
  </si>
  <si>
    <r>
      <t>CH</t>
    </r>
    <r>
      <rPr>
        <b/>
        <vertAlign val="subscript"/>
        <sz val="12"/>
        <color rgb="FFFFFFFF"/>
        <rFont val="Calibri"/>
        <family val="2"/>
        <scheme val="minor"/>
      </rPr>
      <t xml:space="preserve">4 vent  </t>
    </r>
    <r>
      <rPr>
        <b/>
        <sz val="12"/>
        <color rgb="FFFFFFFF"/>
        <rFont val="Calibri"/>
        <family val="2"/>
        <scheme val="minor"/>
      </rPr>
      <t>(MT)</t>
    </r>
  </si>
  <si>
    <r>
      <t>Section L4: Project Methane Emissions from the BCS Effluent Pond(s) (PE</t>
    </r>
    <r>
      <rPr>
        <b/>
        <vertAlign val="subscript"/>
        <sz val="16"/>
        <color rgb="FFFFFFFF"/>
        <rFont val="Calibri"/>
        <family val="2"/>
        <scheme val="minor"/>
      </rPr>
      <t>CH4,EP</t>
    </r>
    <r>
      <rPr>
        <b/>
        <sz val="16"/>
        <color rgb="FFFFFFFF"/>
        <rFont val="Calibri"/>
        <family val="2"/>
        <scheme val="minor"/>
      </rPr>
      <t>) (Reference: [Equation 5.8 in LOP])</t>
    </r>
  </si>
  <si>
    <r>
      <t>L4.4
Maximum CH</t>
    </r>
    <r>
      <rPr>
        <b/>
        <vertAlign val="subscript"/>
        <sz val="12"/>
        <color rgb="FFFFFFFF"/>
        <rFont val="Calibri"/>
        <family val="2"/>
        <scheme val="minor"/>
      </rPr>
      <t>4</t>
    </r>
    <r>
      <rPr>
        <b/>
        <sz val="12"/>
        <color rgb="FFFFFFFF"/>
        <rFont val="Calibri"/>
        <family val="2"/>
        <scheme val="minor"/>
      </rPr>
      <t xml:space="preserve"> Potential</t>
    </r>
  </si>
  <si>
    <r>
      <t>MS</t>
    </r>
    <r>
      <rPr>
        <b/>
        <vertAlign val="subscript"/>
        <sz val="12"/>
        <color rgb="FFFFFFFF"/>
        <rFont val="Calibri"/>
        <family val="2"/>
        <scheme val="minor"/>
      </rPr>
      <t>L,BCS</t>
    </r>
    <r>
      <rPr>
        <b/>
        <sz val="12"/>
        <color rgb="FFFFFFFF"/>
        <rFont val="Calibri"/>
        <family val="2"/>
        <scheme val="minor"/>
      </rPr>
      <t xml:space="preserve"> 
(fraction)</t>
    </r>
  </si>
  <si>
    <r>
      <t>RD</t>
    </r>
    <r>
      <rPr>
        <b/>
        <vertAlign val="subscript"/>
        <sz val="12"/>
        <color rgb="FFFFFFFF"/>
        <rFont val="Calibri"/>
        <family val="2"/>
        <scheme val="minor"/>
      </rPr>
      <t>rp</t>
    </r>
    <r>
      <rPr>
        <b/>
        <sz val="12"/>
        <color rgb="FFFFFFFF"/>
        <rFont val="Calibri"/>
        <family val="2"/>
        <scheme val="minor"/>
      </rPr>
      <t xml:space="preserve"> 
(days)</t>
    </r>
  </si>
  <si>
    <r>
      <t>MCF</t>
    </r>
    <r>
      <rPr>
        <b/>
        <vertAlign val="subscript"/>
        <sz val="12"/>
        <color rgb="FFFFFFFF"/>
        <rFont val="Calibri"/>
        <family val="2"/>
        <scheme val="minor"/>
      </rPr>
      <t xml:space="preserve">ep 
</t>
    </r>
    <r>
      <rPr>
        <b/>
        <sz val="12"/>
        <color rgb="FFFFFFFF"/>
        <rFont val="Calibri"/>
        <family val="2"/>
        <scheme val="minor"/>
      </rPr>
      <t>(fraction)</t>
    </r>
  </si>
  <si>
    <r>
      <t>PE</t>
    </r>
    <r>
      <rPr>
        <b/>
        <vertAlign val="subscript"/>
        <sz val="12"/>
        <color rgb="FFFFFFFF"/>
        <rFont val="Calibri"/>
        <family val="2"/>
        <scheme val="minor"/>
      </rPr>
      <t xml:space="preserve">CH4,EP </t>
    </r>
    <r>
      <rPr>
        <b/>
        <sz val="12"/>
        <color rgb="FFFFFFFF"/>
        <rFont val="Calibri"/>
        <family val="2"/>
        <scheme val="minor"/>
      </rPr>
      <t xml:space="preserve">
(MT CH</t>
    </r>
    <r>
      <rPr>
        <b/>
        <vertAlign val="subscript"/>
        <sz val="12"/>
        <color rgb="FFFFFFFF"/>
        <rFont val="Calibri"/>
        <family val="2"/>
        <scheme val="minor"/>
      </rPr>
      <t>4</t>
    </r>
    <r>
      <rPr>
        <b/>
        <sz val="12"/>
        <color rgb="FFFFFFFF"/>
        <rFont val="Calibri"/>
        <family val="2"/>
        <scheme val="minor"/>
      </rPr>
      <t>)</t>
    </r>
  </si>
  <si>
    <r>
      <t xml:space="preserve">Section L5: Project Methane Emissions from </t>
    </r>
    <r>
      <rPr>
        <b/>
        <i/>
        <sz val="16"/>
        <color rgb="FFFFFFFF"/>
        <rFont val="Calibri"/>
        <family val="2"/>
        <scheme val="minor"/>
      </rPr>
      <t>Non</t>
    </r>
    <r>
      <rPr>
        <b/>
        <sz val="16"/>
        <color rgb="FFFFFFFF"/>
        <rFont val="Calibri"/>
        <family val="2"/>
        <scheme val="minor"/>
      </rPr>
      <t>-BCS Related Sources (PE</t>
    </r>
    <r>
      <rPr>
        <b/>
        <vertAlign val="subscript"/>
        <sz val="16"/>
        <color rgb="FFFFFFFF"/>
        <rFont val="Calibri"/>
        <family val="2"/>
        <scheme val="minor"/>
      </rPr>
      <t>CH4,nBCS</t>
    </r>
    <r>
      <rPr>
        <b/>
        <sz val="16"/>
        <color rgb="FFFFFFFF"/>
        <rFont val="Calibri"/>
        <family val="2"/>
        <scheme val="minor"/>
      </rPr>
      <t>) (Reference: [Equation 5.9 in LOP])</t>
    </r>
  </si>
  <si>
    <r>
      <t>L5.2  Methane Conversion Factor 
(MCF</t>
    </r>
    <r>
      <rPr>
        <b/>
        <vertAlign val="subscript"/>
        <sz val="12"/>
        <color rgb="FFFFFFFF"/>
        <rFont val="Calibri"/>
        <family val="2"/>
        <scheme val="minor"/>
      </rPr>
      <t>S</t>
    </r>
    <r>
      <rPr>
        <b/>
        <sz val="12"/>
        <color rgb="FFFFFFFF"/>
        <rFont val="Calibri"/>
        <family val="2"/>
        <scheme val="minor"/>
      </rPr>
      <t>, fraction)</t>
    </r>
  </si>
  <si>
    <r>
      <t>L5.3
Manure/Effluent Managed in Non-BCS (Other) Systems (MS</t>
    </r>
    <r>
      <rPr>
        <b/>
        <vertAlign val="subscript"/>
        <sz val="12"/>
        <color rgb="FFFFFFFF"/>
        <rFont val="Calibri"/>
        <family val="2"/>
        <scheme val="minor"/>
      </rPr>
      <t>L,S</t>
    </r>
    <r>
      <rPr>
        <b/>
        <sz val="12"/>
        <color rgb="FFFFFFFF"/>
        <rFont val="Calibri"/>
        <family val="2"/>
        <scheme val="minor"/>
      </rPr>
      <t>, fraction)</t>
    </r>
  </si>
  <si>
    <r>
      <t>L5.4  
CH</t>
    </r>
    <r>
      <rPr>
        <b/>
        <vertAlign val="subscript"/>
        <sz val="12"/>
        <color rgb="FFFFFFFF"/>
        <rFont val="Calibri"/>
        <family val="2"/>
        <scheme val="minor"/>
      </rPr>
      <t>4</t>
    </r>
    <r>
      <rPr>
        <b/>
        <sz val="12"/>
        <color rgb="FFFFFFFF"/>
        <rFont val="Calibri"/>
        <family val="2"/>
        <scheme val="minor"/>
      </rPr>
      <t xml:space="preserve"> Emission Factor, non-BCS 
(EF</t>
    </r>
    <r>
      <rPr>
        <b/>
        <vertAlign val="subscript"/>
        <sz val="12"/>
        <color rgb="FFFFFFFF"/>
        <rFont val="Calibri"/>
        <family val="2"/>
        <scheme val="minor"/>
      </rPr>
      <t>CH4,L,nBCSs</t>
    </r>
    <r>
      <rPr>
        <b/>
        <sz val="12"/>
        <color rgb="FFFFFFFF"/>
        <rFont val="Calibri"/>
        <family val="2"/>
        <scheme val="minor"/>
      </rPr>
      <t xml:space="preserve"> , kg CH</t>
    </r>
    <r>
      <rPr>
        <b/>
        <vertAlign val="subscript"/>
        <sz val="12"/>
        <color rgb="FFFFFFFF"/>
        <rFont val="Calibri"/>
        <family val="2"/>
        <scheme val="minor"/>
      </rPr>
      <t>4</t>
    </r>
    <r>
      <rPr>
        <b/>
        <sz val="12"/>
        <color rgb="FFFFFFFF"/>
        <rFont val="Calibri"/>
        <family val="2"/>
        <scheme val="minor"/>
      </rPr>
      <t>/head)</t>
    </r>
  </si>
  <si>
    <r>
      <t>L5.5
Project Methane Emissions, non-BSC 
(PE</t>
    </r>
    <r>
      <rPr>
        <b/>
        <vertAlign val="subscript"/>
        <sz val="12"/>
        <color rgb="FFFFFFFF"/>
        <rFont val="Calibri"/>
        <family val="2"/>
        <scheme val="minor"/>
      </rPr>
      <t>CH4,L,nBCS</t>
    </r>
    <r>
      <rPr>
        <b/>
        <sz val="12"/>
        <color rgb="FFFFFFFF"/>
        <rFont val="Calibri"/>
        <family val="2"/>
        <scheme val="minor"/>
      </rPr>
      <t xml:space="preserve"> , MT CH</t>
    </r>
    <r>
      <rPr>
        <b/>
        <vertAlign val="subscript"/>
        <sz val="12"/>
        <color rgb="FFFFFFFF"/>
        <rFont val="Calibri"/>
        <family val="2"/>
        <scheme val="minor"/>
      </rPr>
      <t>4</t>
    </r>
    <r>
      <rPr>
        <b/>
        <sz val="12"/>
        <color rgb="FFFFFFFF"/>
        <rFont val="Calibri"/>
        <family val="2"/>
        <scheme val="minor"/>
      </rPr>
      <t>)</t>
    </r>
  </si>
  <si>
    <r>
      <t>P1.3 Baseline methane emissions (BE</t>
    </r>
    <r>
      <rPr>
        <b/>
        <vertAlign val="subscript"/>
        <sz val="12"/>
        <color rgb="FFFFFFFF"/>
        <rFont val="Calibri"/>
        <family val="2"/>
        <scheme val="minor"/>
      </rPr>
      <t>CH4 Mod</t>
    </r>
    <r>
      <rPr>
        <b/>
        <sz val="12"/>
        <color rgb="FFFFFFFF"/>
        <rFont val="Calibri"/>
        <family val="2"/>
        <scheme val="minor"/>
      </rPr>
      <t>)</t>
    </r>
  </si>
  <si>
    <r>
      <t>P1.4.a Venting methane (</t>
    </r>
    <r>
      <rPr>
        <b/>
        <i/>
        <sz val="12"/>
        <color rgb="FFFFFFFF"/>
        <rFont val="Calibri"/>
        <family val="2"/>
        <scheme val="minor"/>
      </rPr>
      <t>CH</t>
    </r>
    <r>
      <rPr>
        <b/>
        <i/>
        <vertAlign val="subscript"/>
        <sz val="12"/>
        <color rgb="FFFFFFFF"/>
        <rFont val="Calibri"/>
        <family val="2"/>
        <scheme val="minor"/>
      </rPr>
      <t>4 vent</t>
    </r>
    <r>
      <rPr>
        <b/>
        <sz val="12"/>
        <color rgb="FFFFFFFF"/>
        <rFont val="Calibri"/>
        <family val="2"/>
        <scheme val="minor"/>
      </rPr>
      <t>)</t>
    </r>
  </si>
  <si>
    <r>
      <t>P1.4.b Effluent ponds methane (PE</t>
    </r>
    <r>
      <rPr>
        <b/>
        <vertAlign val="subscript"/>
        <sz val="12"/>
        <color rgb="FFFFFFFF"/>
        <rFont val="Calibri"/>
        <family val="2"/>
        <scheme val="minor"/>
      </rPr>
      <t>CH4,EP</t>
    </r>
    <r>
      <rPr>
        <b/>
        <sz val="12"/>
        <color rgb="FFFFFFFF"/>
        <rFont val="Calibri"/>
        <family val="2"/>
        <scheme val="minor"/>
      </rPr>
      <t>)</t>
    </r>
  </si>
  <si>
    <r>
      <t>P1.4.c Storage/Treatment methane (PE</t>
    </r>
    <r>
      <rPr>
        <b/>
        <vertAlign val="subscript"/>
        <sz val="12"/>
        <color rgb="FFFFFFFF"/>
        <rFont val="Calibri"/>
        <family val="2"/>
        <scheme val="minor"/>
      </rPr>
      <t>CH4,nBCS</t>
    </r>
    <r>
      <rPr>
        <b/>
        <sz val="12"/>
        <color rgb="FFFFFFFF"/>
        <rFont val="Calibri"/>
        <family val="2"/>
        <scheme val="minor"/>
      </rPr>
      <t>)</t>
    </r>
  </si>
  <si>
    <r>
      <t>1.10 Average Annual Temperature (</t>
    </r>
    <r>
      <rPr>
        <b/>
        <sz val="12"/>
        <color rgb="FFFFFFFF"/>
        <rFont val="Calibri"/>
        <family val="2"/>
      </rPr>
      <t>°C)</t>
    </r>
  </si>
  <si>
    <r>
      <t>standard cubic feet 
@ 60</t>
    </r>
    <r>
      <rPr>
        <b/>
        <vertAlign val="superscript"/>
        <sz val="12"/>
        <color rgb="FFFFFFFF"/>
        <rFont val="Calibri"/>
        <family val="2"/>
        <scheme val="minor"/>
      </rPr>
      <t>o</t>
    </r>
    <r>
      <rPr>
        <b/>
        <sz val="12"/>
        <color rgb="FFFFFFFF"/>
        <rFont val="Calibri"/>
        <family val="2"/>
        <scheme val="minor"/>
      </rPr>
      <t>F, 1 atm</t>
    </r>
  </si>
  <si>
    <r>
      <t>Standard Cubic Feet @ 60</t>
    </r>
    <r>
      <rPr>
        <b/>
        <vertAlign val="superscript"/>
        <sz val="12"/>
        <color rgb="FFFFFFFF"/>
        <rFont val="Calibri"/>
        <family val="2"/>
        <scheme val="minor"/>
      </rPr>
      <t>o</t>
    </r>
    <r>
      <rPr>
        <b/>
        <sz val="12"/>
        <color rgb="FFFFFFFF"/>
        <rFont val="Calibri"/>
        <family val="2"/>
        <scheme val="minor"/>
      </rPr>
      <t>F, 1 atm</t>
    </r>
  </si>
  <si>
    <r>
      <rPr>
        <b/>
        <sz val="11"/>
        <color rgb="FFFFFFFF"/>
        <rFont val="Calibri"/>
        <family val="2"/>
        <scheme val="minor"/>
      </rPr>
      <t xml:space="preserve">2.32.a  </t>
    </r>
    <r>
      <rPr>
        <sz val="11"/>
        <color rgb="FFFFFFFF"/>
        <rFont val="Calibri"/>
        <family val="2"/>
        <scheme val="minor"/>
      </rPr>
      <t xml:space="preserve">From upgrading facility to </t>
    </r>
    <r>
      <rPr>
        <b/>
        <sz val="11"/>
        <color rgb="FFFFFFFF"/>
        <rFont val="Calibri"/>
        <family val="2"/>
        <scheme val="minor"/>
      </rPr>
      <t>CNG refueling station.</t>
    </r>
  </si>
  <si>
    <r>
      <rPr>
        <b/>
        <sz val="11"/>
        <color rgb="FFFFFFFF"/>
        <rFont val="Calibri"/>
        <family val="2"/>
        <scheme val="minor"/>
      </rPr>
      <t xml:space="preserve">2.32.b </t>
    </r>
    <r>
      <rPr>
        <sz val="11"/>
        <color rgb="FFFFFFFF"/>
        <rFont val="Calibri"/>
        <family val="2"/>
        <scheme val="minor"/>
      </rPr>
      <t xml:space="preserve"> From upgrading facility to </t>
    </r>
    <r>
      <rPr>
        <b/>
        <sz val="11"/>
        <color rgb="FFFFFFFF"/>
        <rFont val="Calibri"/>
        <family val="2"/>
        <scheme val="minor"/>
      </rPr>
      <t>LNG plant</t>
    </r>
  </si>
  <si>
    <r>
      <rPr>
        <b/>
        <sz val="11"/>
        <color rgb="FFFFFFFF"/>
        <rFont val="Calibri"/>
        <family val="2"/>
        <scheme val="minor"/>
      </rPr>
      <t xml:space="preserve">2.32.c </t>
    </r>
    <r>
      <rPr>
        <sz val="11"/>
        <color rgb="FFFFFFFF"/>
        <rFont val="Calibri"/>
        <family val="2"/>
        <scheme val="minor"/>
      </rPr>
      <t xml:space="preserve"> Percentage of injected CNG that is converted into LNG</t>
    </r>
  </si>
  <si>
    <r>
      <t>GHG emissions
(g CO</t>
    </r>
    <r>
      <rPr>
        <b/>
        <vertAlign val="subscript"/>
        <sz val="11"/>
        <color rgb="FFFFFFFF"/>
        <rFont val="Calibri"/>
        <family val="2"/>
        <scheme val="minor"/>
      </rPr>
      <t>2</t>
    </r>
    <r>
      <rPr>
        <b/>
        <sz val="11"/>
        <color rgb="FFFFFFFF"/>
        <rFont val="Calibri"/>
        <family val="2"/>
        <scheme val="minor"/>
      </rPr>
      <t>e)</t>
    </r>
  </si>
  <si>
    <r>
      <t>GHG emissions CO</t>
    </r>
    <r>
      <rPr>
        <b/>
        <vertAlign val="subscript"/>
        <sz val="11"/>
        <color rgb="FFFFFFFF"/>
        <rFont val="Calibri"/>
        <family val="2"/>
        <scheme val="minor"/>
      </rPr>
      <t>2</t>
    </r>
    <r>
      <rPr>
        <b/>
        <sz val="11"/>
        <color rgb="FFFFFFFF"/>
        <rFont val="Calibri"/>
        <family val="2"/>
        <scheme val="minor"/>
      </rPr>
      <t>e</t>
    </r>
  </si>
  <si>
    <r>
      <t>g CO</t>
    </r>
    <r>
      <rPr>
        <b/>
        <vertAlign val="subscript"/>
        <sz val="11"/>
        <color rgb="FFFFFFFF"/>
        <rFont val="Calibri"/>
        <family val="2"/>
        <scheme val="minor"/>
      </rPr>
      <t>2</t>
    </r>
    <r>
      <rPr>
        <b/>
        <sz val="11"/>
        <color rgb="FFFFFFFF"/>
        <rFont val="Calibri"/>
        <family val="2"/>
        <scheme val="minor"/>
      </rPr>
      <t>e / MJ</t>
    </r>
  </si>
  <si>
    <r>
      <t>Livestock Category</t>
    </r>
    <r>
      <rPr>
        <b/>
        <i/>
        <sz val="10"/>
        <color rgb="FFFFFFFF"/>
        <rFont val="Calibri"/>
        <family val="2"/>
        <scheme val="minor"/>
      </rPr>
      <t xml:space="preserve"> </t>
    </r>
    <r>
      <rPr>
        <b/>
        <sz val="10"/>
        <color rgb="FFFFFFFF"/>
        <rFont val="Calibri"/>
        <family val="2"/>
        <scheme val="minor"/>
      </rPr>
      <t>(L)</t>
    </r>
  </si>
  <si>
    <r>
      <t>VS</t>
    </r>
    <r>
      <rPr>
        <b/>
        <vertAlign val="subscript"/>
        <sz val="10"/>
        <color rgb="FFFFFFFF"/>
        <rFont val="Calibri"/>
        <family val="2"/>
        <scheme val="minor"/>
      </rPr>
      <t>L</t>
    </r>
    <r>
      <rPr>
        <b/>
        <sz val="10"/>
        <color rgb="FFFFFFFF"/>
        <rFont val="Calibri"/>
        <family val="2"/>
        <scheme val="minor"/>
      </rPr>
      <t xml:space="preserve"> 
(kg / day per 
1,000 kg mass)</t>
    </r>
  </si>
  <si>
    <r>
      <t>B</t>
    </r>
    <r>
      <rPr>
        <b/>
        <vertAlign val="subscript"/>
        <sz val="10"/>
        <color rgb="FFFFFFFF"/>
        <rFont val="Calibri"/>
        <family val="2"/>
        <scheme val="minor"/>
      </rPr>
      <t>o,L</t>
    </r>
    <r>
      <rPr>
        <b/>
        <sz val="10"/>
        <color rgb="FFFFFFFF"/>
        <rFont val="Calibri"/>
        <family val="2"/>
        <scheme val="minor"/>
      </rPr>
      <t xml:space="preserve"> 
(m</t>
    </r>
    <r>
      <rPr>
        <b/>
        <vertAlign val="superscript"/>
        <sz val="10"/>
        <color rgb="FFFFFFFF"/>
        <rFont val="Calibri"/>
        <family val="2"/>
        <scheme val="minor"/>
      </rPr>
      <t>3</t>
    </r>
    <r>
      <rPr>
        <b/>
        <sz val="10"/>
        <color rgb="FFFFFFFF"/>
        <rFont val="Calibri"/>
        <family val="2"/>
        <scheme val="minor"/>
      </rPr>
      <t xml:space="preserve"> CH</t>
    </r>
    <r>
      <rPr>
        <b/>
        <vertAlign val="subscript"/>
        <sz val="10"/>
        <color rgb="FFFFFFFF"/>
        <rFont val="Calibri"/>
        <family val="2"/>
        <scheme val="minor"/>
      </rPr>
      <t xml:space="preserve">4 </t>
    </r>
    <r>
      <rPr>
        <b/>
        <sz val="10"/>
        <color rgb="FFFFFFFF"/>
        <rFont val="Calibri"/>
        <family val="2"/>
        <scheme val="minor"/>
      </rPr>
      <t>/ 
kg VS added)</t>
    </r>
  </si>
  <si>
    <t>~~~~ State ~~~~</t>
  </si>
  <si>
    <r>
      <t>VS Removed (fraction), MS</t>
    </r>
    <r>
      <rPr>
        <b/>
        <vertAlign val="subscript"/>
        <sz val="10"/>
        <color rgb="FFFFFFFF"/>
        <rFont val="Calibri"/>
        <family val="2"/>
        <scheme val="minor"/>
      </rPr>
      <t>L,nAS</t>
    </r>
    <r>
      <rPr>
        <b/>
        <sz val="10"/>
        <color rgb="FFFFFFFF"/>
        <rFont val="Calibri"/>
        <family val="2"/>
        <scheme val="minor"/>
      </rPr>
      <t xml:space="preserve"> or MS</t>
    </r>
    <r>
      <rPr>
        <b/>
        <vertAlign val="subscript"/>
        <sz val="10"/>
        <color rgb="FFFFFFFF"/>
        <rFont val="Calibri"/>
        <family val="2"/>
        <scheme val="minor"/>
      </rPr>
      <t>L,S</t>
    </r>
  </si>
  <si>
    <r>
      <t>VS Sent to Manure Management System (fraction), 
MS</t>
    </r>
    <r>
      <rPr>
        <b/>
        <vertAlign val="subscript"/>
        <sz val="10"/>
        <color rgb="FFFFFFFF"/>
        <rFont val="Calibri"/>
        <family val="2"/>
        <scheme val="minor"/>
      </rPr>
      <t>AS,L</t>
    </r>
    <r>
      <rPr>
        <b/>
        <sz val="10"/>
        <color rgb="FFFFFFFF"/>
        <rFont val="Calibri"/>
        <family val="2"/>
        <scheme val="minor"/>
      </rPr>
      <t xml:space="preserve"> or MS</t>
    </r>
    <r>
      <rPr>
        <b/>
        <vertAlign val="subscript"/>
        <sz val="10"/>
        <color rgb="FFFFFFFF"/>
        <rFont val="Calibri"/>
        <family val="2"/>
        <scheme val="minor"/>
      </rPr>
      <t>L,BCS</t>
    </r>
  </si>
  <si>
    <r>
      <t xml:space="preserve">The Tier 1 Calculator for Biomethane from Anaerobic Digestion of Dairy and Swine Manure (T1 DSM Calculator) calculates the carbon intensity (CI) of biomethane produced from anaerobic digestion of dairy and swine manure.
Use the worksheets as follows:
• Use the "ManureToBiogas" worksheet to enter baseline and project manure-management data.
• Use the "AvoidedEmissions" worksheet to review avoided methane and avoided CO2 calculations for eligible pathways seeking Department-approved avoided methane emissions.
• Use the "BiogasToBiomethane" worksheet to enter applicant information, biomethane production data, project energy use, fuel production data, and CNG, LNG, or L-CNG transport data.
• Use the "PathwaySummary" worksheet to review the pathway summary, calculated CI results, conservative margin of safety, and pathway-specific Operating Conditions.
Enter data only in user input cells. Support all user inputs with records. All user inputs are subject to verification during initial pathway certification and annual fuel pathway reporting. Leave inputs blank only when the input does not apply to the fuel pathway. Do not modify calculated cells or predefined input values without NMED approval through the CTFP-DMS and the Tier 2 pathway process, as applicable.
Review the calculated CI in the "PathwaySummary" worksheet. Add a conservative margin of safety, if appropriate, to establish the final CI. NMED may add pathway-specific Operating Conditions before pathway certification. For annual fuel pathway reporting, calculate the operational CI using the most recent two calendar years (24 months) of operational data and the applicable Tier 1 calculator in effect at the time of reporting.
</t>
    </r>
    <r>
      <rPr>
        <b/>
        <sz val="11"/>
        <rFont val="Calibri"/>
        <family val="2"/>
      </rPr>
      <t>Notes:</t>
    </r>
    <r>
      <rPr>
        <sz val="11"/>
        <rFont val="Calibri"/>
        <family val="2"/>
      </rPr>
      <t xml:space="preserve">
</t>
    </r>
    <r>
      <rPr>
        <b/>
        <sz val="11"/>
        <rFont val="Calibri"/>
        <family val="2"/>
      </rPr>
      <t>1. "ManureToBiogas" worksheet</t>
    </r>
    <r>
      <rPr>
        <sz val="11"/>
        <rFont val="Calibri"/>
        <family val="2"/>
      </rPr>
      <t xml:space="preserve">
    • Select "System Emptied in This Month" in Fields L1.(1-6).15 to model the required annual lagoon cleanout for both Tier 1 and Tier 2 pathways. Refer to the Instruction Manual for details.
    • Update Field 2.3 in the "BiogasToBiomethane" worksheet to adjust the operational data period. Field L3.1 is not a user input.
    • Select either "12" or "24" months in Field L1.1.2. Make sure the number of baseline reporting months entered in Fields L1.(1-6).7 matches the value selected in Field L1.1.2. If the values do not match, an "ERROR" 
       message will appear in the total 
       baseline methane emissions from anaerobic storage/treatment systems.
    • Use the baseline reporting period required by the current NMED calculator and guidance for this pathway. If 24 months of eligible baseline data are available, use 24 months. Once 24 months are selected, continue 
       to model the 24-month baseline in subsequent annual fuel pathway reports unless NMED approves a different approach.
    • Do not use calculated herd populations to establish initial VS carryover in Fields L1.(1-6).16. Enter zero for initial VS carryover if the herd populations used to establish initial VS carryover are not verifiable.
</t>
    </r>
    <r>
      <rPr>
        <b/>
        <sz val="11"/>
        <rFont val="Calibri"/>
        <family val="2"/>
      </rPr>
      <t>2. "BiogasToBiomethane" worksheet</t>
    </r>
    <r>
      <rPr>
        <sz val="11"/>
        <rFont val="Calibri"/>
        <family val="2"/>
      </rPr>
      <t xml:space="preserve">
    • Enter the fuel pathway applicant in the "Company Name" field. This corresponds to the "Fuel Producer" in AFP.
    • Enter the fuel production facility in the "Facility Name" field. This corresponds to the "Facility" in AFP.
    • If the fuel production facility has been in full commercial production for at least 90 calendar days but less than 24 months, the registered party may apply for an alternative fuel pathway with provisional status under 
       20.2.92.205(C) NMAC and 20.2.92.202(D)(3) NMAC.
    • Enter project reporting months in Field 2.3 that are entirely covered by the baseline reporting months entered in Fields L1.(1-6).7 in the "ManureToBiogas" worksheet.
    • If the number of project reporting months is fewer than the number of baseline reporting months, align the project reporting months with the latest baseline reporting months.
    • Prepare Annual Fuel Pathway Reports using the most recent two calendar years (24 months) of project operational data. If fewer than 24 months of operational data exist, report all available months. Do not omit 
       months to select a favorable subset.
    • Set the calculator’s "Number of Project Reporting Months" to 24 for Annual Fuel Pathway Reports once 24 months of data exist.
    • Enter the name of each intermediate facility included in the fuel pathway in Field 1.11. Register all intermediate facilities in AFP using the legal facility name or the U.S. EPA facility registration name, as applicable. 
       Consult current NMED program materials for intermediate facility identification and registration requirements.
</t>
    </r>
    <r>
      <rPr>
        <b/>
        <sz val="11"/>
        <rFont val="Calibri"/>
        <family val="2"/>
      </rPr>
      <t>3. "AvoidedEmissions" worksheet</t>
    </r>
    <r>
      <rPr>
        <sz val="11"/>
        <rFont val="Calibri"/>
        <family val="2"/>
      </rPr>
      <t xml:space="preserve">
    • Use this worksheet only for pathways seeking to include avoided methane emissions in the certified CI.
    • Include avoided methane emissions only when the regulated party demonstrates eligibility to NMED and receives Department approval under 20.2.92.202(E) NMAC.
    • Demonstrate that the feedstock or process-energy feedstock would otherwise result in methane emissions to the atmosphere and that the feedstock is a byproduct of another process or industry. Base the avoided methane 
       calculation on previous methane emissions that occurred at the facility or feedstock production location within the five years preceding transportation fuel production. Demonstrate that methane control is voluntary and additional 
       to applicable legal requirements and common practice.
    • Refer to the Instruction Manual for detailed eligibility criteria, documentation requirements, and calculation instructions.
This calculator contains macros. If using Microsoft Excel, select "Enable Content" when opening the calculator. To ensure CI calculations reflect the most recent inputs, select "Automatic" under "Calculation Options" in the Formulas toolbar, click a "Calculate" button, or press F9.</t>
    </r>
  </si>
  <si>
    <t>User Input Parameters</t>
  </si>
  <si>
    <t>Number of Project Reporting Months</t>
  </si>
  <si>
    <t>Tier 1 CI Calculator for
Dairy and Swine Manure Biomethane</t>
  </si>
  <si>
    <t xml:space="preserve">2.2b  Number of Project Reporting Months </t>
  </si>
  <si>
    <r>
      <t xml:space="preserve">Clean Transportation Fuel Program
Tier 1 CI Calculator for Dairy and Swine Manure Biomethane (Release Date: </t>
    </r>
    <r>
      <rPr>
        <b/>
        <sz val="14"/>
        <rFont val="Calibri"/>
        <family val="2"/>
      </rPr>
      <t>07/01</t>
    </r>
    <r>
      <rPr>
        <b/>
        <sz val="14"/>
        <color theme="1"/>
        <rFont val="Calibri"/>
        <family val="2"/>
      </rPr>
      <t>/2026)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</si>
</sst>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9">
    <numFmt numFmtId="43" formatCode="_(* #,##0.00_);_(* \(#,##0.00\);_(* &quot;-&quot;??_);_(@_)"/>
    <numFmt numFmtId="164" formatCode="#,##0.0"/>
    <numFmt numFmtId="165" formatCode="#,##0.0000"/>
    <numFmt numFmtId="166" formatCode="_(* #,##0_);_(* \(#,##0\);_(* &quot;-&quot;??_);_(@_)"/>
    <numFmt numFmtId="167" formatCode="0.0%"/>
    <numFmt numFmtId="168" formatCode="#,##0.00;[Red]#,##0.00"/>
    <numFmt numFmtId="169" formatCode="0.00_);[Red]\(0.00\)"/>
    <numFmt numFmtId="170" formatCode="0.0"/>
    <numFmt numFmtId="171" formatCode="#,##0.0_);\(#,##0.0\)"/>
    <numFmt numFmtId="172" formatCode="0.000"/>
    <numFmt numFmtId="173" formatCode="mm\-yyyy"/>
    <numFmt numFmtId="174" formatCode="0.0000"/>
    <numFmt numFmtId="175" formatCode="0.00000%"/>
    <numFmt numFmtId="176" formatCode="0.000000%"/>
    <numFmt numFmtId="177" formatCode="0.000000"/>
    <numFmt numFmtId="178" formatCode="#,##0.000"/>
    <numFmt numFmtId="179" formatCode="#,##0.000000"/>
    <numFmt numFmtId="180" formatCode="0.000E+00"/>
    <numFmt numFmtId="181" formatCode="0.0E+00"/>
  </numFmts>
  <fonts count="12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theme="1"/>
      <name val="Calibri"/>
      <family val="2"/>
    </font>
    <font>
      <b/>
      <sz val="14"/>
      <color theme="0"/>
      <name val="Calibri"/>
      <family val="2"/>
      <scheme val="minor"/>
    </font>
    <font>
      <b/>
      <sz val="14"/>
      <color theme="1"/>
      <name val="Calibri"/>
      <family val="2"/>
    </font>
    <font>
      <sz val="11"/>
      <name val="Calibri"/>
      <family val="2"/>
    </font>
    <font>
      <b/>
      <sz val="11"/>
      <color theme="1"/>
      <name val="Calibri"/>
      <family val="2"/>
    </font>
    <font>
      <sz val="11"/>
      <color theme="10"/>
      <name val="Calibri"/>
      <family val="2"/>
      <scheme val="minor"/>
    </font>
    <font>
      <b/>
      <sz val="11"/>
      <color rgb="FFFF0000"/>
      <name val="Arial"/>
      <family val="2"/>
    </font>
    <font>
      <sz val="11"/>
      <color theme="1"/>
      <name val="Arial"/>
      <family val="2"/>
    </font>
    <font>
      <b/>
      <sz val="11"/>
      <name val="Arial"/>
      <family val="2"/>
    </font>
    <font>
      <b/>
      <sz val="10"/>
      <color theme="1"/>
      <name val="Arial"/>
      <family val="2"/>
    </font>
    <font>
      <sz val="10"/>
      <color theme="1"/>
      <name val="Arial"/>
      <family val="2"/>
    </font>
    <font>
      <sz val="11"/>
      <color theme="0"/>
      <name val="Arial"/>
      <family val="2"/>
    </font>
    <font>
      <b/>
      <sz val="10"/>
      <name val="Arial"/>
      <family val="2"/>
    </font>
    <font>
      <b/>
      <sz val="10"/>
      <color rgb="FFFF0000"/>
      <name val="Arial"/>
      <family val="2"/>
    </font>
    <font>
      <b/>
      <u/>
      <sz val="11"/>
      <color theme="1"/>
      <name val="Arial"/>
      <family val="2"/>
    </font>
    <font>
      <sz val="9"/>
      <color indexed="81"/>
      <name val="Tahoma"/>
      <family val="2"/>
    </font>
    <font>
      <b/>
      <sz val="26"/>
      <color theme="1"/>
      <name val="Calibri"/>
      <family val="2"/>
      <scheme val="minor"/>
    </font>
    <font>
      <b/>
      <sz val="14"/>
      <color rgb="FFFF0000"/>
      <name val="Calibri"/>
      <family val="2"/>
      <scheme val="minor"/>
    </font>
    <font>
      <b/>
      <sz val="16"/>
      <color theme="0"/>
      <name val="Calibri"/>
      <family val="2"/>
      <scheme val="minor"/>
    </font>
    <font>
      <sz val="12"/>
      <color theme="1"/>
      <name val="Calibri"/>
      <family val="2"/>
      <scheme val="minor"/>
    </font>
    <font>
      <sz val="12"/>
      <name val="Calibri"/>
      <family val="2"/>
      <scheme val="minor"/>
    </font>
    <font>
      <b/>
      <sz val="12"/>
      <name val="Calibri"/>
      <family val="2"/>
      <scheme val="minor"/>
    </font>
    <font>
      <b/>
      <sz val="12"/>
      <color theme="1"/>
      <name val="Calibri"/>
      <family val="2"/>
      <scheme val="minor"/>
    </font>
    <font>
      <b/>
      <sz val="12"/>
      <color rgb="FFFF0000"/>
      <name val="Calibri"/>
      <family val="2"/>
      <scheme val="minor"/>
    </font>
    <font>
      <b/>
      <vertAlign val="subscript"/>
      <sz val="12"/>
      <color theme="1"/>
      <name val="Calibri"/>
      <family val="2"/>
      <scheme val="minor"/>
    </font>
    <font>
      <b/>
      <sz val="36"/>
      <color rgb="FFFF0000"/>
      <name val="Calibri"/>
      <family val="2"/>
      <scheme val="minor"/>
    </font>
    <font>
      <b/>
      <sz val="14"/>
      <color theme="1"/>
      <name val="Calibri"/>
      <family val="2"/>
      <scheme val="minor"/>
    </font>
    <font>
      <b/>
      <sz val="11"/>
      <color indexed="63"/>
      <name val="Calibri"/>
      <family val="2"/>
    </font>
    <font>
      <sz val="12"/>
      <color indexed="63"/>
      <name val="Calibri"/>
      <family val="2"/>
      <scheme val="minor"/>
    </font>
    <font>
      <sz val="11"/>
      <color indexed="9"/>
      <name val="Calibri"/>
      <family val="2"/>
    </font>
    <font>
      <i/>
      <sz val="11"/>
      <color indexed="23"/>
      <name val="Calibri"/>
      <family val="2"/>
    </font>
    <font>
      <b/>
      <sz val="28"/>
      <color rgb="FFFF0000"/>
      <name val="Calibri"/>
      <family val="2"/>
      <scheme val="minor"/>
    </font>
    <font>
      <b/>
      <sz val="13"/>
      <color rgb="FFFF0000"/>
      <name val="Calibri"/>
      <family val="2"/>
      <scheme val="minor"/>
    </font>
    <font>
      <b/>
      <sz val="11"/>
      <name val="Calibri"/>
      <family val="2"/>
      <scheme val="minor"/>
    </font>
    <font>
      <b/>
      <sz val="11"/>
      <color theme="1" tint="0.249977111117893"/>
      <name val="Calibri"/>
      <family val="2"/>
      <scheme val="minor"/>
    </font>
    <font>
      <b/>
      <sz val="28"/>
      <color theme="1"/>
      <name val="Calibri"/>
      <family val="2"/>
      <scheme val="minor"/>
    </font>
    <font>
      <b/>
      <sz val="25"/>
      <color theme="1" tint="0.249977111117893"/>
      <name val="Calibri"/>
      <family val="2"/>
      <scheme val="minor"/>
    </font>
    <font>
      <b/>
      <sz val="16"/>
      <name val="Calibri"/>
      <family val="2"/>
      <scheme val="minor"/>
    </font>
    <font>
      <sz val="11"/>
      <name val="Calibri"/>
      <family val="2"/>
      <scheme val="minor"/>
    </font>
    <font>
      <b/>
      <sz val="13"/>
      <color theme="0"/>
      <name val="Calibri"/>
      <family val="2"/>
      <scheme val="minor"/>
    </font>
    <font>
      <b/>
      <sz val="11"/>
      <color rgb="FFFF0000"/>
      <name val="Calibri"/>
      <family val="2"/>
      <scheme val="minor"/>
    </font>
    <font>
      <sz val="14"/>
      <color theme="1"/>
      <name val="Arial"/>
      <family val="2"/>
    </font>
    <font>
      <sz val="13"/>
      <color theme="1"/>
      <name val="Calibri"/>
      <family val="2"/>
      <scheme val="minor"/>
    </font>
    <font>
      <b/>
      <sz val="16"/>
      <name val="Arial"/>
      <family val="2"/>
    </font>
    <font>
      <sz val="11"/>
      <name val="Arial"/>
      <family val="2"/>
    </font>
    <font>
      <b/>
      <sz val="11"/>
      <color theme="1"/>
      <name val="Arial"/>
      <family val="2"/>
    </font>
    <font>
      <i/>
      <sz val="8"/>
      <name val="Arial"/>
      <family val="2"/>
    </font>
    <font>
      <i/>
      <sz val="10"/>
      <color rgb="FFFF0000"/>
      <name val="Arial"/>
      <family val="2"/>
    </font>
    <font>
      <sz val="10"/>
      <color rgb="FFFF0000"/>
      <name val="Arial"/>
      <family val="2"/>
    </font>
    <font>
      <sz val="11"/>
      <color rgb="FFFF0000"/>
      <name val="Arial"/>
      <family val="2"/>
    </font>
    <font>
      <i/>
      <sz val="10"/>
      <name val="Arial"/>
      <family val="2"/>
    </font>
    <font>
      <sz val="10"/>
      <name val="Arial"/>
      <family val="2"/>
    </font>
    <font>
      <i/>
      <sz val="11"/>
      <name val="Arial"/>
      <family val="2"/>
    </font>
    <font>
      <i/>
      <sz val="12"/>
      <name val="Arial"/>
      <family val="2"/>
    </font>
    <font>
      <sz val="12"/>
      <name val="Arial"/>
      <family val="2"/>
    </font>
    <font>
      <i/>
      <sz val="10"/>
      <color rgb="FF00B0F0"/>
      <name val="Arial"/>
      <family val="2"/>
    </font>
    <font>
      <b/>
      <sz val="11"/>
      <color theme="9" tint="-0.249977111117893"/>
      <name val="Arial"/>
      <family val="2"/>
    </font>
    <font>
      <sz val="14"/>
      <color rgb="FFFF0000"/>
      <name val="Calibri"/>
      <family val="2"/>
      <scheme val="minor"/>
    </font>
    <font>
      <sz val="14"/>
      <color theme="1"/>
      <name val="Calibri"/>
      <family val="2"/>
      <scheme val="minor"/>
    </font>
    <font>
      <sz val="10"/>
      <name val="Calibri"/>
      <family val="2"/>
      <scheme val="minor"/>
    </font>
    <font>
      <b/>
      <vertAlign val="subscript"/>
      <sz val="11"/>
      <color theme="1"/>
      <name val="Calibri"/>
      <family val="2"/>
      <scheme val="minor"/>
    </font>
    <font>
      <b/>
      <sz val="10"/>
      <name val="Calibri"/>
      <family val="2"/>
      <scheme val="minor"/>
    </font>
    <font>
      <b/>
      <vertAlign val="subscript"/>
      <sz val="12"/>
      <name val="Calibri"/>
      <family val="2"/>
      <scheme val="minor"/>
    </font>
    <font>
      <u/>
      <sz val="10"/>
      <color theme="10"/>
      <name val="Calibri"/>
      <family val="2"/>
      <scheme val="minor"/>
    </font>
    <font>
      <sz val="10"/>
      <color theme="1"/>
      <name val="Arial"/>
      <family val="2"/>
    </font>
    <font>
      <sz val="11"/>
      <color theme="0"/>
      <name val="Arial"/>
      <family val="2"/>
    </font>
    <font>
      <b/>
      <sz val="10"/>
      <color theme="1"/>
      <name val="Arial"/>
      <family val="2"/>
    </font>
    <font>
      <sz val="11"/>
      <color rgb="FFFFFFFF"/>
      <name val="Calibri"/>
      <family val="2"/>
    </font>
    <font>
      <b/>
      <sz val="14"/>
      <color rgb="FFFFFFFF"/>
      <name val="Calibri"/>
      <family val="2"/>
      <scheme val="minor"/>
    </font>
    <font>
      <b/>
      <sz val="16"/>
      <color rgb="FFFFFFFF"/>
      <name val="Calibri"/>
      <family val="2"/>
    </font>
    <font>
      <sz val="11"/>
      <color rgb="FF000000"/>
      <name val="Calibri"/>
      <family val="2"/>
      <scheme val="minor"/>
    </font>
    <font>
      <sz val="11"/>
      <color rgb="FFFFFFFF"/>
      <name val="Calibri"/>
      <family val="2"/>
      <scheme val="minor"/>
    </font>
    <font>
      <sz val="16"/>
      <color rgb="FFFFFFFF"/>
      <name val="Calibri"/>
      <family val="2"/>
    </font>
    <font>
      <b/>
      <sz val="11"/>
      <color rgb="FFFFFFFF"/>
      <name val="Calibri"/>
      <family val="2"/>
    </font>
    <font>
      <b/>
      <sz val="12"/>
      <color rgb="FFFFFFFF"/>
      <name val="Calibri"/>
      <family val="2"/>
    </font>
    <font>
      <sz val="12"/>
      <color rgb="FFFFFFFF"/>
      <name val="Calibri"/>
      <family val="2"/>
    </font>
    <font>
      <i/>
      <sz val="11"/>
      <color rgb="FFFFFFFF"/>
      <name val="Calibri"/>
      <family val="2"/>
    </font>
    <font>
      <b/>
      <sz val="14"/>
      <color rgb="FFFFFFFF"/>
      <name val="Arial"/>
      <family val="2"/>
    </font>
    <font>
      <b/>
      <sz val="11"/>
      <color rgb="FF000000"/>
      <name val="Arial"/>
      <family val="2"/>
    </font>
    <font>
      <b/>
      <sz val="11"/>
      <color rgb="FFFFFFFF"/>
      <name val="Arial"/>
      <family val="2"/>
    </font>
    <font>
      <b/>
      <sz val="12"/>
      <color rgb="FFFFFFFF"/>
      <name val="Arial"/>
      <family val="2"/>
    </font>
    <font>
      <sz val="11"/>
      <color rgb="FFFFFFFF"/>
      <name val="Arial"/>
      <family val="2"/>
    </font>
    <font>
      <vertAlign val="subscript"/>
      <sz val="11"/>
      <color rgb="FFFFFFFF"/>
      <name val="Arial"/>
      <family val="2"/>
    </font>
    <font>
      <b/>
      <vertAlign val="subscript"/>
      <sz val="11"/>
      <color rgb="FFFFFFFF"/>
      <name val="Arial"/>
      <family val="2"/>
    </font>
    <font>
      <b/>
      <sz val="10"/>
      <color rgb="FF000000"/>
      <name val="Arial"/>
      <family val="2"/>
    </font>
    <font>
      <b/>
      <u/>
      <sz val="14"/>
      <color rgb="FFFFFFFF"/>
      <name val="Arial"/>
      <family val="2"/>
    </font>
    <font>
      <b/>
      <sz val="16"/>
      <color rgb="FFFFFFFF"/>
      <name val="Calibri"/>
      <family val="2"/>
      <scheme val="minor"/>
    </font>
    <font>
      <b/>
      <vertAlign val="subscript"/>
      <sz val="16"/>
      <color rgb="FFFFFFFF"/>
      <name val="Calibri"/>
      <family val="2"/>
      <scheme val="minor"/>
    </font>
    <font>
      <b/>
      <sz val="12"/>
      <color rgb="FFFFFFFF"/>
      <name val="Calibri"/>
      <family val="2"/>
      <scheme val="minor"/>
    </font>
    <font>
      <sz val="12"/>
      <color rgb="FF000000"/>
      <name val="Calibri"/>
      <family val="2"/>
      <scheme val="minor"/>
    </font>
    <font>
      <b/>
      <vertAlign val="subscript"/>
      <sz val="12"/>
      <color rgb="FFFFFFFF"/>
      <name val="Calibri"/>
      <family val="2"/>
      <scheme val="minor"/>
    </font>
    <font>
      <b/>
      <i/>
      <sz val="16"/>
      <color rgb="FFFFFFFF"/>
      <name val="Calibri"/>
      <family val="2"/>
      <scheme val="minor"/>
    </font>
    <font>
      <b/>
      <i/>
      <vertAlign val="subscript"/>
      <sz val="16"/>
      <color rgb="FFFFFFFF"/>
      <name val="Calibri"/>
      <family val="2"/>
      <scheme val="minor"/>
    </font>
    <font>
      <sz val="12"/>
      <color rgb="FFFFFFFF"/>
      <name val="Calibri"/>
      <family val="2"/>
      <scheme val="minor"/>
    </font>
    <font>
      <b/>
      <vertAlign val="superscript"/>
      <sz val="12"/>
      <color rgb="FFFFFFFF"/>
      <name val="Calibri"/>
      <family val="2"/>
      <scheme val="minor"/>
    </font>
    <font>
      <b/>
      <sz val="12"/>
      <color rgb="FF000000"/>
      <name val="Calibri"/>
      <family val="2"/>
      <scheme val="minor"/>
    </font>
    <font>
      <b/>
      <i/>
      <sz val="12"/>
      <color rgb="FFFFFFFF"/>
      <name val="Calibri"/>
      <family val="2"/>
      <scheme val="minor"/>
    </font>
    <font>
      <b/>
      <i/>
      <vertAlign val="subscript"/>
      <sz val="12"/>
      <color rgb="FFFFFFFF"/>
      <name val="Calibri"/>
      <family val="2"/>
      <scheme val="minor"/>
    </font>
    <font>
      <b/>
      <sz val="11"/>
      <color rgb="FFFFFFFF"/>
      <name val="Calibri"/>
      <family val="2"/>
      <scheme val="minor"/>
    </font>
    <font>
      <b/>
      <sz val="11"/>
      <color rgb="FF000000"/>
      <name val="Calibri"/>
      <family val="2"/>
      <scheme val="minor"/>
    </font>
    <font>
      <sz val="11"/>
      <color rgb="FF000000"/>
      <name val="Calibri"/>
      <family val="2"/>
    </font>
    <font>
      <b/>
      <vertAlign val="subscript"/>
      <sz val="11"/>
      <color rgb="FFFFFFFF"/>
      <name val="Calibri"/>
      <family val="2"/>
      <scheme val="minor"/>
    </font>
    <font>
      <b/>
      <u val="double"/>
      <sz val="11"/>
      <color rgb="FF000000"/>
      <name val="Calibri"/>
      <family val="2"/>
      <scheme val="minor"/>
    </font>
    <font>
      <sz val="10"/>
      <color rgb="FFFFFFFF"/>
      <name val="Calibri"/>
      <family val="2"/>
      <scheme val="minor"/>
    </font>
    <font>
      <b/>
      <sz val="10"/>
      <color rgb="FFFFFFFF"/>
      <name val="Calibri"/>
      <family val="2"/>
      <scheme val="minor"/>
    </font>
    <font>
      <u/>
      <sz val="10"/>
      <color rgb="FFFFFFFF"/>
      <name val="Calibri"/>
      <family val="2"/>
      <scheme val="minor"/>
    </font>
    <font>
      <b/>
      <u/>
      <sz val="12"/>
      <color rgb="FFFFFFFF"/>
      <name val="Calibri"/>
      <family val="2"/>
      <scheme val="minor"/>
    </font>
    <font>
      <b/>
      <i/>
      <sz val="10"/>
      <color rgb="FFFFFFFF"/>
      <name val="Calibri"/>
      <family val="2"/>
      <scheme val="minor"/>
    </font>
    <font>
      <b/>
      <vertAlign val="subscript"/>
      <sz val="10"/>
      <color rgb="FFFFFFFF"/>
      <name val="Calibri"/>
      <family val="2"/>
      <scheme val="minor"/>
    </font>
    <font>
      <b/>
      <vertAlign val="superscript"/>
      <sz val="10"/>
      <color rgb="FFFFFFFF"/>
      <name val="Calibri"/>
      <family val="2"/>
      <scheme val="minor"/>
    </font>
    <font>
      <sz val="8"/>
      <color rgb="FFFFFFFF"/>
      <name val="Calibri"/>
      <family val="2"/>
      <scheme val="minor"/>
    </font>
    <font>
      <b/>
      <sz val="20"/>
      <color theme="0"/>
      <name val="Calibri"/>
      <family val="2"/>
      <scheme val="minor"/>
    </font>
    <font>
      <b/>
      <sz val="11"/>
      <name val="Calibri"/>
      <family val="2"/>
    </font>
    <font>
      <b/>
      <sz val="22"/>
      <color theme="0"/>
      <name val="Calibri"/>
      <family val="2"/>
      <scheme val="minor"/>
    </font>
    <font>
      <b/>
      <sz val="14"/>
      <name val="Calibri"/>
      <family val="2"/>
    </font>
  </fonts>
  <fills count="16">
    <fill>
      <patternFill patternType="none"/>
    </fill>
    <fill>
      <patternFill patternType="gray125"/>
    </fill>
    <fill>
      <patternFill patternType="solid">
        <fgColor rgb="FF1B8ABF"/>
        <bgColor indexed="64"/>
      </patternFill>
    </fill>
    <fill>
      <patternFill patternType="solid">
        <fgColor theme="0"/>
        <bgColor indexed="64"/>
      </patternFill>
    </fill>
    <fill>
      <patternFill patternType="solid">
        <fgColor rgb="FFDFDFE1"/>
        <bgColor indexed="64"/>
      </patternFill>
    </fill>
    <fill>
      <patternFill patternType="solid">
        <fgColor theme="0" tint="-0.499984740745262"/>
        <bgColor indexed="64"/>
      </patternFill>
    </fill>
    <fill>
      <patternFill patternType="solid">
        <fgColor indexed="22"/>
      </patternFill>
    </fill>
    <fill>
      <patternFill patternType="solid">
        <fgColor indexed="57"/>
      </patternFill>
    </fill>
    <fill>
      <patternFill patternType="solid">
        <fgColor rgb="FF026773"/>
        <bgColor indexed="64"/>
      </patternFill>
    </fill>
    <fill>
      <patternFill patternType="solid">
        <fgColor rgb="FFF1E1C0"/>
        <bgColor indexed="64"/>
      </patternFill>
    </fill>
    <fill>
      <patternFill patternType="solid">
        <fgColor rgb="FF718C55"/>
        <bgColor indexed="64"/>
      </patternFill>
    </fill>
    <fill>
      <patternFill patternType="solid">
        <fgColor rgb="FFFFA168"/>
        <bgColor indexed="64"/>
      </patternFill>
    </fill>
    <fill>
      <patternFill patternType="solid">
        <fgColor rgb="FF026773"/>
        <bgColor theme="4" tint="0.79998168889431442"/>
      </patternFill>
    </fill>
    <fill>
      <patternFill patternType="solid">
        <fgColor rgb="FF026773"/>
        <bgColor theme="4"/>
      </patternFill>
    </fill>
    <fill>
      <patternFill patternType="solid">
        <fgColor rgb="FFF4F1E2"/>
        <bgColor indexed="64"/>
      </patternFill>
    </fill>
    <fill>
      <patternFill patternType="solid">
        <fgColor rgb="FFA0A0A0"/>
        <bgColor indexed="64"/>
      </patternFill>
    </fill>
  </fills>
  <borders count="82">
    <border>
      <left/>
      <right/>
      <top/>
      <bottom/>
      <diagonal/>
    </border>
    <border>
      <left/>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diagonal/>
    </border>
    <border>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auto="1"/>
      </right>
      <top/>
      <bottom style="thin">
        <color auto="1"/>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auto="1"/>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auto="1"/>
      </right>
      <top style="thin">
        <color indexed="64"/>
      </top>
      <bottom style="thin">
        <color indexed="64"/>
      </bottom>
      <diagonal/>
    </border>
    <border>
      <left style="thin">
        <color auto="1"/>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auto="1"/>
      </right>
      <top style="thin">
        <color indexed="64"/>
      </top>
      <bottom/>
      <diagonal/>
    </border>
    <border>
      <left style="medium">
        <color indexed="64"/>
      </left>
      <right/>
      <top style="medium">
        <color indexed="64"/>
      </top>
      <bottom style="thin">
        <color indexed="64"/>
      </bottom>
      <diagonal/>
    </border>
    <border>
      <left style="thin">
        <color indexed="63"/>
      </left>
      <right style="thin">
        <color indexed="63"/>
      </right>
      <top style="thin">
        <color indexed="63"/>
      </top>
      <bottom style="thin">
        <color indexed="63"/>
      </bottom>
      <diagonal/>
    </border>
    <border>
      <left style="medium">
        <color indexed="64"/>
      </left>
      <right/>
      <top style="thin">
        <color indexed="64"/>
      </top>
      <bottom/>
      <diagonal/>
    </border>
    <border>
      <left/>
      <right style="medium">
        <color indexed="64"/>
      </right>
      <top/>
      <bottom style="thin">
        <color indexed="64"/>
      </bottom>
      <diagonal/>
    </border>
    <border>
      <left style="medium">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auto="1"/>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thin">
        <color auto="1"/>
      </right>
      <top style="double">
        <color indexed="64"/>
      </top>
      <bottom style="thin">
        <color auto="1"/>
      </bottom>
      <diagonal/>
    </border>
    <border>
      <left style="thin">
        <color indexed="64"/>
      </left>
      <right style="thin">
        <color indexed="64"/>
      </right>
      <top style="double">
        <color indexed="64"/>
      </top>
      <bottom style="thin">
        <color indexed="64"/>
      </bottom>
      <diagonal/>
    </border>
    <border>
      <left/>
      <right style="medium">
        <color indexed="64"/>
      </right>
      <top style="double">
        <color auto="1"/>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auto="1"/>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style="medium">
        <color indexed="64"/>
      </left>
      <right/>
      <top style="medium">
        <color indexed="64"/>
      </top>
      <bottom/>
      <diagonal/>
    </border>
  </borders>
  <cellStyleXfs count="10">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33" fillId="6" borderId="56" applyNumberFormat="0" applyAlignment="0" applyProtection="0"/>
    <xf numFmtId="0" fontId="35" fillId="7" borderId="0" applyNumberFormat="0" applyBorder="0" applyAlignment="0" applyProtection="0"/>
    <xf numFmtId="0" fontId="36" fillId="0" borderId="0" applyNumberFormat="0" applyFill="0" applyBorder="0" applyAlignment="0" applyProtection="0"/>
    <xf numFmtId="9" fontId="57" fillId="0" borderId="0" applyFont="0" applyFill="0" applyBorder="0" applyAlignment="0" applyProtection="0"/>
    <xf numFmtId="0" fontId="57" fillId="0" borderId="80"/>
    <xf numFmtId="3" fontId="57" fillId="0" borderId="0" applyFont="0" applyFill="0" applyBorder="0" applyAlignment="0" applyProtection="0"/>
  </cellStyleXfs>
  <cellXfs count="1019">
    <xf numFmtId="0" fontId="0" fillId="0" borderId="0" xfId="0"/>
    <xf numFmtId="0" fontId="6" fillId="2" borderId="0" xfId="0" applyFont="1" applyFill="1" applyAlignment="1" applyProtection="1">
      <alignment vertical="center"/>
      <protection locked="0"/>
    </xf>
    <xf numFmtId="0" fontId="5" fillId="0" borderId="7" xfId="3" applyBorder="1" applyAlignment="1">
      <alignment horizontal="center" vertical="center"/>
    </xf>
    <xf numFmtId="0" fontId="10" fillId="3" borderId="0" xfId="0" applyFont="1" applyFill="1" applyAlignment="1" applyProtection="1">
      <alignment horizontal="center" vertical="center"/>
      <protection locked="0"/>
    </xf>
    <xf numFmtId="0" fontId="13" fillId="0" borderId="0" xfId="0" applyFont="1"/>
    <xf numFmtId="0" fontId="13" fillId="0" borderId="23" xfId="0" applyFont="1" applyBorder="1" applyAlignment="1">
      <alignment horizontal="center" vertical="center" wrapText="1"/>
    </xf>
    <xf numFmtId="0" fontId="13" fillId="0" borderId="0" xfId="0" applyFont="1" applyAlignment="1">
      <alignment vertical="center"/>
    </xf>
    <xf numFmtId="0" fontId="13" fillId="0" borderId="25" xfId="0" applyFont="1" applyBorder="1" applyAlignment="1">
      <alignment horizontal="center" vertical="center"/>
    </xf>
    <xf numFmtId="173" fontId="13" fillId="4" borderId="26" xfId="0" applyNumberFormat="1" applyFont="1" applyFill="1" applyBorder="1" applyAlignment="1">
      <alignment horizontal="center" vertical="center"/>
    </xf>
    <xf numFmtId="0" fontId="15" fillId="0" borderId="27" xfId="0" applyFont="1" applyBorder="1" applyAlignment="1">
      <alignment vertical="center" wrapText="1"/>
    </xf>
    <xf numFmtId="0" fontId="16" fillId="0" borderId="13" xfId="0" applyFont="1" applyBorder="1" applyAlignment="1">
      <alignment vertical="center" wrapText="1"/>
    </xf>
    <xf numFmtId="0" fontId="13" fillId="4" borderId="28" xfId="0" applyFont="1" applyFill="1" applyBorder="1" applyAlignment="1">
      <alignment horizontal="center" vertical="center"/>
    </xf>
    <xf numFmtId="0" fontId="13" fillId="0" borderId="0" xfId="0" applyFont="1" applyAlignment="1">
      <alignment horizontal="center" vertical="center"/>
    </xf>
    <xf numFmtId="4" fontId="16" fillId="4" borderId="7" xfId="0" applyNumberFormat="1" applyFont="1" applyFill="1" applyBorder="1" applyAlignment="1">
      <alignment horizontal="center" vertical="center"/>
    </xf>
    <xf numFmtId="0" fontId="16" fillId="0" borderId="33" xfId="0" applyFont="1" applyBorder="1" applyAlignment="1">
      <alignment wrapText="1"/>
    </xf>
    <xf numFmtId="3" fontId="16" fillId="4" borderId="7" xfId="0" applyNumberFormat="1" applyFont="1" applyFill="1" applyBorder="1" applyAlignment="1">
      <alignment horizontal="center" vertical="center"/>
    </xf>
    <xf numFmtId="0" fontId="13" fillId="4" borderId="7" xfId="0" applyFont="1" applyFill="1" applyBorder="1" applyAlignment="1">
      <alignment horizontal="center" vertical="center"/>
    </xf>
    <xf numFmtId="4" fontId="15" fillId="4" borderId="7" xfId="0" applyNumberFormat="1" applyFont="1" applyFill="1" applyBorder="1" applyAlignment="1">
      <alignment horizontal="center" vertical="center"/>
    </xf>
    <xf numFmtId="3" fontId="13" fillId="4" borderId="7" xfId="0" applyNumberFormat="1" applyFont="1" applyFill="1" applyBorder="1" applyAlignment="1">
      <alignment horizontal="center" vertical="center"/>
    </xf>
    <xf numFmtId="167" fontId="16" fillId="4" borderId="7" xfId="0" applyNumberFormat="1" applyFont="1" applyFill="1" applyBorder="1" applyAlignment="1">
      <alignment horizontal="center" vertical="center"/>
    </xf>
    <xf numFmtId="2" fontId="15" fillId="4" borderId="33" xfId="0" applyNumberFormat="1" applyFont="1" applyFill="1" applyBorder="1" applyAlignment="1">
      <alignment horizontal="center" vertical="center"/>
    </xf>
    <xf numFmtId="167" fontId="15" fillId="4" borderId="7" xfId="2" applyNumberFormat="1" applyFont="1" applyFill="1" applyBorder="1" applyAlignment="1">
      <alignment horizontal="center" vertical="center"/>
    </xf>
    <xf numFmtId="2" fontId="19" fillId="4" borderId="39" xfId="0" applyNumberFormat="1" applyFont="1" applyFill="1" applyBorder="1" applyAlignment="1">
      <alignment horizontal="center" vertical="center"/>
    </xf>
    <xf numFmtId="9" fontId="16" fillId="4" borderId="7" xfId="2" applyFont="1" applyFill="1" applyBorder="1" applyAlignment="1">
      <alignment horizontal="center" vertical="center"/>
    </xf>
    <xf numFmtId="0" fontId="17" fillId="3" borderId="32" xfId="0" applyFont="1" applyFill="1" applyBorder="1" applyAlignment="1">
      <alignment horizontal="right" vertical="center"/>
    </xf>
    <xf numFmtId="9" fontId="16" fillId="3" borderId="7" xfId="2" applyFont="1" applyFill="1" applyBorder="1" applyAlignment="1">
      <alignment horizontal="center" vertical="center"/>
    </xf>
    <xf numFmtId="0" fontId="17" fillId="3" borderId="7" xfId="0" applyFont="1" applyFill="1" applyBorder="1" applyAlignment="1">
      <alignment horizontal="center" vertical="center"/>
    </xf>
    <xf numFmtId="0" fontId="17" fillId="3" borderId="22" xfId="0" applyFont="1" applyFill="1" applyBorder="1"/>
    <xf numFmtId="2" fontId="15" fillId="3" borderId="33" xfId="0" applyNumberFormat="1" applyFont="1" applyFill="1" applyBorder="1" applyAlignment="1">
      <alignment horizontal="center"/>
    </xf>
    <xf numFmtId="167" fontId="16" fillId="3" borderId="7" xfId="2" applyNumberFormat="1" applyFont="1" applyFill="1" applyBorder="1" applyAlignment="1">
      <alignment horizontal="center" vertical="center"/>
    </xf>
    <xf numFmtId="0" fontId="16" fillId="0" borderId="0" xfId="0" applyFont="1" applyAlignment="1">
      <alignment vertical="top" wrapText="1"/>
    </xf>
    <xf numFmtId="0" fontId="20" fillId="0" borderId="0" xfId="0" applyFont="1"/>
    <xf numFmtId="172" fontId="25" fillId="4" borderId="7" xfId="0" applyNumberFormat="1" applyFont="1" applyFill="1" applyBorder="1" applyAlignment="1">
      <alignment horizontal="center" vertical="center"/>
    </xf>
    <xf numFmtId="3" fontId="25" fillId="4" borderId="7" xfId="0" applyNumberFormat="1" applyFont="1" applyFill="1" applyBorder="1" applyAlignment="1">
      <alignment horizontal="center" vertical="center"/>
    </xf>
    <xf numFmtId="172" fontId="25" fillId="4" borderId="33" xfId="0" applyNumberFormat="1" applyFont="1" applyFill="1" applyBorder="1" applyAlignment="1">
      <alignment horizontal="center" vertical="center"/>
    </xf>
    <xf numFmtId="0" fontId="26" fillId="4" borderId="48" xfId="0" applyFont="1" applyFill="1" applyBorder="1" applyAlignment="1">
      <alignment horizontal="center" vertical="center" wrapText="1"/>
    </xf>
    <xf numFmtId="173" fontId="25" fillId="4" borderId="20" xfId="0" applyNumberFormat="1" applyFont="1" applyFill="1" applyBorder="1" applyAlignment="1">
      <alignment horizontal="center" vertical="center"/>
    </xf>
    <xf numFmtId="0" fontId="25" fillId="4" borderId="48" xfId="0" applyFont="1" applyFill="1" applyBorder="1" applyAlignment="1">
      <alignment horizontal="center" vertical="center"/>
    </xf>
    <xf numFmtId="0" fontId="27" fillId="0" borderId="0" xfId="0" applyFont="1" applyAlignment="1">
      <alignment horizontal="center" vertical="center" wrapText="1"/>
    </xf>
    <xf numFmtId="0" fontId="25" fillId="0" borderId="0" xfId="0" applyFont="1" applyAlignment="1">
      <alignment horizontal="center" vertical="center"/>
    </xf>
    <xf numFmtId="0" fontId="28" fillId="0" borderId="0" xfId="0" applyFont="1" applyAlignment="1">
      <alignment horizontal="center" vertical="center"/>
    </xf>
    <xf numFmtId="0" fontId="28" fillId="0" borderId="35" xfId="0" applyFont="1" applyBorder="1" applyAlignment="1">
      <alignment horizontal="center" vertical="center"/>
    </xf>
    <xf numFmtId="0" fontId="28" fillId="0" borderId="50" xfId="0" applyFont="1" applyBorder="1" applyAlignment="1">
      <alignment horizontal="center" vertical="center"/>
    </xf>
    <xf numFmtId="0" fontId="0" fillId="0" borderId="50" xfId="0" applyBorder="1"/>
    <xf numFmtId="2" fontId="0" fillId="0" borderId="50" xfId="0" applyNumberFormat="1" applyBorder="1"/>
    <xf numFmtId="172" fontId="29" fillId="4" borderId="28" xfId="0" applyNumberFormat="1" applyFont="1" applyFill="1" applyBorder="1" applyAlignment="1">
      <alignment horizontal="center" vertical="center"/>
    </xf>
    <xf numFmtId="2" fontId="0" fillId="0" borderId="0" xfId="0" applyNumberFormat="1"/>
    <xf numFmtId="0" fontId="28" fillId="0" borderId="38" xfId="0" applyFont="1" applyBorder="1" applyAlignment="1">
      <alignment horizontal="center" vertical="center"/>
    </xf>
    <xf numFmtId="0" fontId="25" fillId="0" borderId="0" xfId="0" applyFont="1"/>
    <xf numFmtId="0" fontId="27" fillId="0" borderId="20" xfId="0" applyFont="1" applyBorder="1" applyAlignment="1">
      <alignment horizontal="center" vertical="center" wrapText="1"/>
    </xf>
    <xf numFmtId="0" fontId="25" fillId="0" borderId="7" xfId="0" applyFont="1" applyBorder="1" applyAlignment="1">
      <alignment horizontal="center" vertical="center"/>
    </xf>
    <xf numFmtId="0" fontId="28" fillId="4" borderId="7" xfId="0" applyFont="1" applyFill="1" applyBorder="1" applyAlignment="1">
      <alignment horizontal="center" vertical="center" wrapText="1"/>
    </xf>
    <xf numFmtId="0" fontId="28" fillId="4" borderId="33" xfId="0" applyFont="1" applyFill="1" applyBorder="1" applyAlignment="1">
      <alignment horizontal="center" vertical="center" wrapText="1"/>
    </xf>
    <xf numFmtId="0" fontId="25" fillId="0" borderId="51" xfId="0" applyFont="1" applyBorder="1" applyAlignment="1">
      <alignment horizontal="center" vertical="center"/>
    </xf>
    <xf numFmtId="0" fontId="25" fillId="0" borderId="21" xfId="0" applyFont="1" applyBorder="1" applyAlignment="1">
      <alignment horizontal="center" vertical="center"/>
    </xf>
    <xf numFmtId="0" fontId="25" fillId="0" borderId="26" xfId="0" applyFont="1" applyBorder="1" applyAlignment="1">
      <alignment horizontal="center" vertical="center"/>
    </xf>
    <xf numFmtId="0" fontId="28" fillId="0" borderId="0" xfId="0" applyFont="1" applyAlignment="1">
      <alignment horizontal="right" wrapText="1"/>
    </xf>
    <xf numFmtId="2" fontId="25" fillId="4" borderId="50" xfId="0" applyNumberFormat="1" applyFont="1" applyFill="1" applyBorder="1" applyAlignment="1">
      <alignment horizontal="center" vertical="center"/>
    </xf>
    <xf numFmtId="2" fontId="26" fillId="4" borderId="50" xfId="0" applyNumberFormat="1" applyFont="1" applyFill="1" applyBorder="1" applyAlignment="1">
      <alignment horizontal="center" vertical="center"/>
    </xf>
    <xf numFmtId="2" fontId="26" fillId="4" borderId="28" xfId="0" applyNumberFormat="1" applyFont="1" applyFill="1" applyBorder="1" applyAlignment="1">
      <alignment horizontal="center" vertical="center"/>
    </xf>
    <xf numFmtId="2" fontId="25" fillId="4" borderId="22" xfId="0" applyNumberFormat="1" applyFont="1" applyFill="1" applyBorder="1" applyAlignment="1">
      <alignment horizontal="center" vertical="center"/>
    </xf>
    <xf numFmtId="172" fontId="0" fillId="0" borderId="0" xfId="0" applyNumberFormat="1"/>
    <xf numFmtId="0" fontId="25" fillId="0" borderId="50" xfId="0" applyFont="1" applyBorder="1" applyAlignment="1">
      <alignment horizontal="center" vertical="center"/>
    </xf>
    <xf numFmtId="0" fontId="25" fillId="4" borderId="20" xfId="0" applyFont="1" applyFill="1" applyBorder="1" applyAlignment="1">
      <alignment horizontal="center" vertical="center"/>
    </xf>
    <xf numFmtId="1" fontId="25" fillId="4" borderId="7" xfId="1" applyNumberFormat="1" applyFont="1" applyFill="1" applyBorder="1" applyAlignment="1">
      <alignment horizontal="center" vertical="center"/>
    </xf>
    <xf numFmtId="2" fontId="25" fillId="4" borderId="7" xfId="0" applyNumberFormat="1" applyFont="1" applyFill="1" applyBorder="1" applyAlignment="1">
      <alignment horizontal="center" vertical="center"/>
    </xf>
    <xf numFmtId="0" fontId="25" fillId="4" borderId="35" xfId="0" applyFont="1" applyFill="1" applyBorder="1" applyAlignment="1">
      <alignment horizontal="center" vertical="center"/>
    </xf>
    <xf numFmtId="1" fontId="25" fillId="4" borderId="50" xfId="1" applyNumberFormat="1" applyFont="1" applyFill="1" applyBorder="1" applyAlignment="1">
      <alignment horizontal="center" vertical="center"/>
    </xf>
    <xf numFmtId="0" fontId="31" fillId="0" borderId="0" xfId="0" applyFont="1"/>
    <xf numFmtId="0" fontId="22" fillId="0" borderId="0" xfId="0" applyFont="1"/>
    <xf numFmtId="0" fontId="32" fillId="0" borderId="0" xfId="0" applyFont="1"/>
    <xf numFmtId="0" fontId="25" fillId="0" borderId="0" xfId="0" applyFont="1" applyAlignment="1">
      <alignment horizontal="center"/>
    </xf>
    <xf numFmtId="0" fontId="25" fillId="0" borderId="31" xfId="0" applyFont="1" applyBorder="1" applyAlignment="1">
      <alignment horizontal="center"/>
    </xf>
    <xf numFmtId="0" fontId="27" fillId="0" borderId="40" xfId="0" applyFont="1" applyBorder="1"/>
    <xf numFmtId="2" fontId="34" fillId="4" borderId="7" xfId="4" applyNumberFormat="1" applyFont="1" applyFill="1" applyBorder="1" applyAlignment="1">
      <alignment horizontal="right" vertical="center"/>
    </xf>
    <xf numFmtId="0" fontId="26" fillId="3" borderId="33" xfId="0" applyFont="1" applyFill="1" applyBorder="1" applyAlignment="1">
      <alignment horizontal="center" vertical="center"/>
    </xf>
    <xf numFmtId="170" fontId="25" fillId="3" borderId="33" xfId="6" applyNumberFormat="1" applyFont="1" applyFill="1" applyBorder="1" applyAlignment="1">
      <alignment horizontal="center" vertical="center"/>
    </xf>
    <xf numFmtId="2" fontId="26" fillId="4" borderId="7" xfId="1" applyNumberFormat="1" applyFont="1" applyFill="1" applyBorder="1" applyAlignment="1">
      <alignment horizontal="right" vertical="center"/>
    </xf>
    <xf numFmtId="0" fontId="26" fillId="3" borderId="33" xfId="0" applyFont="1" applyFill="1" applyBorder="1" applyAlignment="1">
      <alignment horizontal="center" vertical="center" wrapText="1"/>
    </xf>
    <xf numFmtId="0" fontId="3" fillId="0" borderId="0" xfId="0" applyFont="1" applyAlignment="1" applyProtection="1">
      <alignment horizontal="center"/>
      <protection locked="0"/>
    </xf>
    <xf numFmtId="0" fontId="0" fillId="0" borderId="0" xfId="0" applyAlignment="1" applyProtection="1">
      <alignment horizontal="center"/>
      <protection locked="0"/>
    </xf>
    <xf numFmtId="0" fontId="37" fillId="0" borderId="0" xfId="0" applyFont="1" applyAlignment="1" applyProtection="1">
      <alignment horizontal="center"/>
      <protection locked="0"/>
    </xf>
    <xf numFmtId="0" fontId="39" fillId="0" borderId="0" xfId="0" applyFont="1" applyAlignment="1" applyProtection="1">
      <alignment vertical="center" wrapText="1"/>
      <protection locked="0"/>
    </xf>
    <xf numFmtId="0" fontId="39" fillId="0" borderId="0" xfId="0" applyFont="1" applyAlignment="1">
      <alignment vertical="center" wrapText="1"/>
    </xf>
    <xf numFmtId="0" fontId="39" fillId="0" borderId="0" xfId="0" applyFont="1" applyAlignment="1">
      <alignment vertical="center"/>
    </xf>
    <xf numFmtId="37" fontId="39" fillId="0" borderId="0" xfId="0" applyNumberFormat="1" applyFont="1" applyAlignment="1" applyProtection="1">
      <alignment vertical="center"/>
      <protection locked="0"/>
    </xf>
    <xf numFmtId="0" fontId="40" fillId="0" borderId="0" xfId="0" applyFont="1" applyAlignment="1" applyProtection="1">
      <alignment horizontal="center"/>
      <protection locked="0"/>
    </xf>
    <xf numFmtId="0" fontId="0" fillId="0" borderId="0" xfId="0" applyAlignment="1" applyProtection="1">
      <alignment horizontal="left"/>
      <protection locked="0"/>
    </xf>
    <xf numFmtId="37" fontId="39" fillId="0" borderId="0" xfId="0" applyNumberFormat="1" applyFont="1" applyAlignment="1" applyProtection="1">
      <alignment horizontal="left" vertical="center"/>
      <protection locked="0"/>
    </xf>
    <xf numFmtId="0" fontId="41" fillId="0" borderId="0" xfId="0" applyFont="1" applyAlignment="1" applyProtection="1">
      <alignment horizontal="left" vertical="center"/>
      <protection locked="0"/>
    </xf>
    <xf numFmtId="0" fontId="42" fillId="0" borderId="0" xfId="0" applyFont="1" applyAlignment="1" applyProtection="1">
      <alignment horizontal="center"/>
      <protection locked="0"/>
    </xf>
    <xf numFmtId="0" fontId="24" fillId="0" borderId="0" xfId="0" applyFont="1" applyAlignment="1" applyProtection="1">
      <alignment horizontal="center" vertical="center" wrapText="1"/>
      <protection locked="0"/>
    </xf>
    <xf numFmtId="0" fontId="43" fillId="0" borderId="0" xfId="0" applyFont="1" applyAlignment="1" applyProtection="1">
      <alignment horizontal="center" vertical="center" wrapText="1"/>
      <protection locked="0"/>
    </xf>
    <xf numFmtId="0" fontId="0" fillId="0" borderId="0" xfId="0" applyAlignment="1" applyProtection="1">
      <alignment horizontal="left" vertical="center"/>
      <protection locked="0"/>
    </xf>
    <xf numFmtId="0" fontId="44" fillId="0" borderId="0" xfId="0" applyFont="1" applyAlignment="1" applyProtection="1">
      <alignment horizontal="left" vertical="center" wrapText="1"/>
      <protection locked="0"/>
    </xf>
    <xf numFmtId="0" fontId="24" fillId="0" borderId="0" xfId="0" applyFont="1" applyAlignment="1" applyProtection="1">
      <alignment horizontal="left" vertical="center"/>
      <protection locked="0"/>
    </xf>
    <xf numFmtId="0" fontId="24" fillId="0" borderId="0" xfId="0" applyFont="1" applyAlignment="1" applyProtection="1">
      <alignment horizontal="center" vertical="center"/>
      <protection locked="0"/>
    </xf>
    <xf numFmtId="0" fontId="24" fillId="0" borderId="0" xfId="0" applyFont="1" applyAlignment="1" applyProtection="1">
      <alignment vertical="center"/>
      <protection locked="0"/>
    </xf>
    <xf numFmtId="0" fontId="45" fillId="0" borderId="0" xfId="0" applyFont="1" applyAlignment="1" applyProtection="1">
      <alignment vertical="center"/>
      <protection locked="0"/>
    </xf>
    <xf numFmtId="0" fontId="26" fillId="0" borderId="0" xfId="0" applyFont="1" applyAlignment="1" applyProtection="1">
      <alignment horizontal="left" vertical="center" wrapText="1"/>
      <protection locked="0"/>
    </xf>
    <xf numFmtId="0" fontId="0" fillId="0" borderId="0" xfId="0" applyAlignment="1" applyProtection="1">
      <alignment horizontal="center" vertical="center"/>
      <protection locked="0"/>
    </xf>
    <xf numFmtId="0" fontId="23" fillId="0" borderId="0" xfId="0" applyFont="1" applyAlignment="1" applyProtection="1">
      <alignment horizontal="left" vertical="center"/>
      <protection locked="0"/>
    </xf>
    <xf numFmtId="0" fontId="26"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28" fillId="0" borderId="0" xfId="0" applyFont="1" applyAlignment="1" applyProtection="1">
      <alignment horizontal="center" vertical="center" wrapText="1"/>
      <protection locked="0"/>
    </xf>
    <xf numFmtId="0" fontId="28" fillId="0" borderId="0" xfId="0" applyFont="1" applyAlignment="1" applyProtection="1">
      <alignment vertical="center" wrapText="1"/>
      <protection locked="0"/>
    </xf>
    <xf numFmtId="0" fontId="28" fillId="0" borderId="0" xfId="0" applyFont="1" applyAlignment="1" applyProtection="1">
      <alignment horizontal="left" vertical="center" wrapText="1"/>
      <protection locked="0"/>
    </xf>
    <xf numFmtId="0" fontId="46" fillId="0" borderId="0" xfId="0" applyFont="1" applyAlignment="1" applyProtection="1">
      <alignment horizontal="center" vertical="center"/>
      <protection locked="0"/>
    </xf>
    <xf numFmtId="2" fontId="0" fillId="0" borderId="0" xfId="0" applyNumberFormat="1" applyAlignment="1" applyProtection="1">
      <alignment horizontal="center" vertical="center"/>
      <protection locked="0"/>
    </xf>
    <xf numFmtId="0" fontId="47" fillId="0" borderId="0" xfId="0" applyFont="1" applyAlignment="1" applyProtection="1">
      <alignment horizontal="center" vertical="center"/>
      <protection locked="0"/>
    </xf>
    <xf numFmtId="0" fontId="29" fillId="4" borderId="48" xfId="0" applyFont="1" applyFill="1" applyBorder="1" applyAlignment="1" applyProtection="1">
      <alignment vertical="center" wrapText="1"/>
      <protection locked="0"/>
    </xf>
    <xf numFmtId="0" fontId="27" fillId="4" borderId="43" xfId="0" applyFont="1" applyFill="1" applyBorder="1" applyAlignment="1" applyProtection="1">
      <alignment horizontal="center" vertical="center" wrapText="1"/>
      <protection locked="0"/>
    </xf>
    <xf numFmtId="0" fontId="28" fillId="3" borderId="14" xfId="0" applyFont="1" applyFill="1" applyBorder="1" applyAlignment="1" applyProtection="1">
      <alignment vertical="center" wrapText="1"/>
      <protection locked="0"/>
    </xf>
    <xf numFmtId="0" fontId="3" fillId="0" borderId="15" xfId="0" applyFont="1" applyBorder="1" applyAlignment="1" applyProtection="1">
      <alignment horizontal="center" vertical="center" wrapText="1"/>
      <protection locked="0"/>
    </xf>
    <xf numFmtId="0" fontId="29" fillId="4" borderId="31" xfId="0" applyFont="1" applyFill="1" applyBorder="1" applyAlignment="1" applyProtection="1">
      <alignment horizontal="center" vertical="center" wrapText="1"/>
      <protection locked="0"/>
    </xf>
    <xf numFmtId="0" fontId="27" fillId="0" borderId="0" xfId="0" applyFont="1" applyAlignment="1" applyProtection="1">
      <alignment horizontal="center" vertical="center"/>
      <protection locked="0"/>
    </xf>
    <xf numFmtId="0" fontId="27" fillId="0" borderId="0" xfId="0" applyFont="1" applyAlignment="1" applyProtection="1">
      <alignment horizontal="center" vertical="center" wrapText="1"/>
      <protection locked="0"/>
    </xf>
    <xf numFmtId="0" fontId="48" fillId="0" borderId="0" xfId="0" applyFont="1" applyAlignment="1" applyProtection="1">
      <alignment horizontal="center"/>
      <protection locked="0"/>
    </xf>
    <xf numFmtId="0" fontId="28" fillId="4" borderId="67" xfId="0" applyFont="1" applyFill="1" applyBorder="1" applyAlignment="1" applyProtection="1">
      <alignment horizontal="center" vertical="center"/>
      <protection locked="0"/>
    </xf>
    <xf numFmtId="0" fontId="25" fillId="0" borderId="0" xfId="0" applyFont="1" applyAlignment="1" applyProtection="1">
      <alignment horizontal="center" vertical="center"/>
      <protection locked="0"/>
    </xf>
    <xf numFmtId="3" fontId="44" fillId="4" borderId="69" xfId="0" applyNumberFormat="1" applyFont="1" applyFill="1" applyBorder="1" applyAlignment="1" applyProtection="1">
      <alignment horizontal="center" vertical="center"/>
      <protection locked="0"/>
    </xf>
    <xf numFmtId="3" fontId="4" fillId="3" borderId="46" xfId="0" applyNumberFormat="1" applyFont="1" applyFill="1" applyBorder="1" applyAlignment="1">
      <alignment horizontal="center" vertical="center" wrapText="1"/>
    </xf>
    <xf numFmtId="3" fontId="44" fillId="4" borderId="23" xfId="0" applyNumberFormat="1" applyFont="1" applyFill="1" applyBorder="1" applyAlignment="1">
      <alignment horizontal="center" vertical="center" wrapText="1"/>
    </xf>
    <xf numFmtId="3" fontId="44" fillId="3" borderId="46" xfId="0" applyNumberFormat="1" applyFont="1" applyFill="1" applyBorder="1" applyAlignment="1">
      <alignment horizontal="center" vertical="center" wrapText="1"/>
    </xf>
    <xf numFmtId="3" fontId="44" fillId="4" borderId="25" xfId="2" applyNumberFormat="1" applyFont="1" applyFill="1" applyBorder="1" applyAlignment="1" applyProtection="1">
      <alignment horizontal="center" vertical="center"/>
    </xf>
    <xf numFmtId="3" fontId="44" fillId="3" borderId="9" xfId="2" applyNumberFormat="1" applyFont="1" applyFill="1" applyBorder="1" applyAlignment="1" applyProtection="1">
      <alignment horizontal="center" vertical="center"/>
    </xf>
    <xf numFmtId="3" fontId="44" fillId="3" borderId="24" xfId="1" applyNumberFormat="1" applyFont="1" applyFill="1" applyBorder="1" applyAlignment="1" applyProtection="1">
      <alignment horizontal="center" vertical="center"/>
    </xf>
    <xf numFmtId="3" fontId="44" fillId="3" borderId="8" xfId="1" applyNumberFormat="1" applyFont="1" applyFill="1" applyBorder="1" applyAlignment="1" applyProtection="1">
      <alignment horizontal="center" vertical="center"/>
    </xf>
    <xf numFmtId="3" fontId="44" fillId="3" borderId="5" xfId="1" applyNumberFormat="1" applyFont="1" applyFill="1" applyBorder="1" applyAlignment="1" applyProtection="1">
      <alignment horizontal="center" vertical="center"/>
    </xf>
    <xf numFmtId="3" fontId="44" fillId="3" borderId="47" xfId="2" applyNumberFormat="1" applyFont="1" applyFill="1" applyBorder="1" applyAlignment="1" applyProtection="1">
      <alignment horizontal="center" vertical="center"/>
    </xf>
    <xf numFmtId="3" fontId="44" fillId="3" borderId="11" xfId="2" applyNumberFormat="1" applyFont="1" applyFill="1" applyBorder="1" applyAlignment="1" applyProtection="1">
      <alignment horizontal="center" vertical="center"/>
    </xf>
    <xf numFmtId="3" fontId="44" fillId="3" borderId="26" xfId="1" applyNumberFormat="1" applyFont="1" applyFill="1" applyBorder="1" applyAlignment="1" applyProtection="1">
      <alignment horizontal="center" vertical="center"/>
    </xf>
    <xf numFmtId="3" fontId="44" fillId="3" borderId="47" xfId="0" applyNumberFormat="1" applyFont="1" applyFill="1" applyBorder="1" applyAlignment="1">
      <alignment horizontal="center" vertical="center" wrapText="1"/>
    </xf>
    <xf numFmtId="0" fontId="44" fillId="0" borderId="20" xfId="0" applyFont="1" applyBorder="1" applyAlignment="1">
      <alignment horizontal="center" vertical="center" wrapText="1"/>
    </xf>
    <xf numFmtId="3" fontId="44" fillId="3" borderId="20" xfId="0" applyNumberFormat="1" applyFont="1" applyFill="1" applyBorder="1" applyAlignment="1">
      <alignment horizontal="center" vertical="center" wrapText="1"/>
    </xf>
    <xf numFmtId="3" fontId="44" fillId="0" borderId="20" xfId="0" applyNumberFormat="1" applyFont="1" applyBorder="1" applyAlignment="1">
      <alignment horizontal="center" vertical="center"/>
    </xf>
    <xf numFmtId="3" fontId="44" fillId="0" borderId="51" xfId="0" applyNumberFormat="1" applyFont="1" applyBorder="1" applyAlignment="1">
      <alignment horizontal="center" vertical="center"/>
    </xf>
    <xf numFmtId="3" fontId="44" fillId="0" borderId="7" xfId="0" applyNumberFormat="1" applyFont="1" applyBorder="1" applyAlignment="1">
      <alignment horizontal="center" vertical="center"/>
    </xf>
    <xf numFmtId="3" fontId="44" fillId="3" borderId="22" xfId="0" applyNumberFormat="1" applyFont="1" applyFill="1" applyBorder="1" applyAlignment="1">
      <alignment horizontal="center" vertical="center"/>
    </xf>
    <xf numFmtId="3" fontId="44" fillId="0" borderId="22" xfId="0" applyNumberFormat="1" applyFont="1" applyBorder="1" applyAlignment="1">
      <alignment horizontal="center" vertical="center"/>
    </xf>
    <xf numFmtId="3" fontId="44" fillId="0" borderId="7" xfId="1" applyNumberFormat="1" applyFont="1" applyFill="1" applyBorder="1" applyAlignment="1" applyProtection="1">
      <alignment horizontal="center" vertical="center"/>
    </xf>
    <xf numFmtId="3" fontId="44" fillId="0" borderId="26" xfId="1" applyNumberFormat="1" applyFont="1" applyFill="1" applyBorder="1" applyAlignment="1" applyProtection="1">
      <alignment horizontal="center" vertical="center"/>
    </xf>
    <xf numFmtId="0" fontId="44" fillId="0" borderId="32" xfId="0" applyFont="1" applyBorder="1" applyAlignment="1">
      <alignment horizontal="center" vertical="center" wrapText="1"/>
    </xf>
    <xf numFmtId="3" fontId="44" fillId="3" borderId="20" xfId="0" applyNumberFormat="1" applyFont="1" applyFill="1" applyBorder="1" applyAlignment="1">
      <alignment horizontal="center" vertical="center"/>
    </xf>
    <xf numFmtId="3" fontId="44" fillId="4" borderId="21" xfId="0" applyNumberFormat="1" applyFont="1" applyFill="1" applyBorder="1" applyAlignment="1">
      <alignment horizontal="center" vertical="center"/>
    </xf>
    <xf numFmtId="3" fontId="44" fillId="0" borderId="26" xfId="0" applyNumberFormat="1" applyFont="1" applyBorder="1" applyAlignment="1">
      <alignment horizontal="center" vertical="center"/>
    </xf>
    <xf numFmtId="175" fontId="0" fillId="0" borderId="0" xfId="2" applyNumberFormat="1" applyFont="1" applyFill="1" applyAlignment="1" applyProtection="1">
      <alignment horizontal="center" vertical="center"/>
      <protection locked="0"/>
    </xf>
    <xf numFmtId="0" fontId="0" fillId="0" borderId="0" xfId="2" applyNumberFormat="1" applyFont="1" applyFill="1" applyAlignment="1" applyProtection="1">
      <alignment horizontal="center" vertical="center"/>
      <protection locked="0"/>
    </xf>
    <xf numFmtId="176" fontId="0" fillId="0" borderId="0" xfId="2" applyNumberFormat="1" applyFont="1" applyFill="1" applyAlignment="1" applyProtection="1">
      <alignment horizontal="center" vertical="center"/>
      <protection locked="0"/>
    </xf>
    <xf numFmtId="4" fontId="0" fillId="0" borderId="0" xfId="2" applyNumberFormat="1" applyFont="1" applyFill="1" applyAlignment="1" applyProtection="1">
      <alignment horizontal="center" vertical="center"/>
      <protection locked="0"/>
    </xf>
    <xf numFmtId="167" fontId="0" fillId="0" borderId="0" xfId="2" applyNumberFormat="1" applyFont="1" applyFill="1" applyAlignment="1" applyProtection="1">
      <alignment horizontal="center" vertical="center"/>
      <protection locked="0"/>
    </xf>
    <xf numFmtId="174" fontId="0" fillId="0" borderId="0" xfId="0" applyNumberFormat="1" applyAlignment="1" applyProtection="1">
      <alignment horizontal="center" vertical="center"/>
      <protection locked="0"/>
    </xf>
    <xf numFmtId="0" fontId="5" fillId="0" borderId="0" xfId="3" applyFill="1" applyAlignment="1" applyProtection="1">
      <alignment horizontal="center" vertical="center"/>
      <protection locked="0"/>
    </xf>
    <xf numFmtId="10" fontId="39" fillId="0" borderId="0" xfId="0" applyNumberFormat="1" applyFont="1" applyAlignment="1">
      <alignment horizontal="center" vertical="center"/>
    </xf>
    <xf numFmtId="10" fontId="44" fillId="0" borderId="0" xfId="0" applyNumberFormat="1" applyFont="1" applyAlignment="1">
      <alignment horizontal="center" vertical="center"/>
    </xf>
    <xf numFmtId="0" fontId="44" fillId="0" borderId="0" xfId="0" applyFont="1" applyAlignment="1">
      <alignment horizontal="center" vertical="center"/>
    </xf>
    <xf numFmtId="10" fontId="44" fillId="0" borderId="0" xfId="2" applyNumberFormat="1" applyFont="1" applyFill="1" applyBorder="1" applyAlignment="1" applyProtection="1">
      <alignment horizontal="center" vertical="center"/>
    </xf>
    <xf numFmtId="0" fontId="44" fillId="0" borderId="0" xfId="2" applyNumberFormat="1" applyFont="1" applyFill="1" applyBorder="1" applyAlignment="1" applyProtection="1">
      <alignment horizontal="center" vertical="center"/>
    </xf>
    <xf numFmtId="10" fontId="39" fillId="0" borderId="0" xfId="2" applyNumberFormat="1" applyFont="1" applyFill="1" applyBorder="1" applyAlignment="1" applyProtection="1">
      <alignment horizontal="center" vertical="center"/>
    </xf>
    <xf numFmtId="2" fontId="39" fillId="0" borderId="0" xfId="2" applyNumberFormat="1" applyFont="1" applyFill="1" applyBorder="1" applyAlignment="1" applyProtection="1">
      <alignment horizontal="center" vertical="center"/>
    </xf>
    <xf numFmtId="0" fontId="44" fillId="0" borderId="0" xfId="0" applyFont="1" applyProtection="1">
      <protection locked="0"/>
    </xf>
    <xf numFmtId="0" fontId="43" fillId="0" borderId="0" xfId="0" applyFont="1" applyAlignment="1" applyProtection="1">
      <alignment vertical="center" wrapText="1"/>
      <protection locked="0"/>
    </xf>
    <xf numFmtId="0" fontId="49" fillId="0" borderId="0" xfId="0" applyFont="1" applyAlignment="1" applyProtection="1">
      <alignment vertical="center" wrapText="1"/>
      <protection locked="0"/>
    </xf>
    <xf numFmtId="3" fontId="18" fillId="0" borderId="0" xfId="0" applyNumberFormat="1" applyFont="1" applyAlignment="1" applyProtection="1">
      <alignment vertical="center" wrapText="1"/>
      <protection locked="0"/>
    </xf>
    <xf numFmtId="0" fontId="18" fillId="0" borderId="0" xfId="0" applyFont="1" applyAlignment="1" applyProtection="1">
      <alignment horizontal="left" vertical="center" wrapText="1"/>
      <protection locked="0"/>
    </xf>
    <xf numFmtId="0" fontId="50" fillId="0" borderId="0" xfId="0" applyFont="1" applyProtection="1">
      <protection locked="0"/>
    </xf>
    <xf numFmtId="0" fontId="17" fillId="3" borderId="37" xfId="0" applyFont="1" applyFill="1" applyBorder="1" applyAlignment="1" applyProtection="1">
      <alignment horizontal="center"/>
      <protection locked="0"/>
    </xf>
    <xf numFmtId="0" fontId="17" fillId="3" borderId="0" xfId="0" applyFont="1" applyFill="1" applyAlignment="1" applyProtection="1">
      <alignment horizontal="center"/>
      <protection locked="0"/>
    </xf>
    <xf numFmtId="0" fontId="17" fillId="3" borderId="6" xfId="0" applyFont="1" applyFill="1" applyBorder="1" applyAlignment="1" applyProtection="1">
      <alignment horizontal="center"/>
      <protection locked="0"/>
    </xf>
    <xf numFmtId="0" fontId="17" fillId="3" borderId="36" xfId="0" applyFont="1" applyFill="1" applyBorder="1" applyAlignment="1" applyProtection="1">
      <alignment vertical="center"/>
      <protection locked="0"/>
    </xf>
    <xf numFmtId="0" fontId="13" fillId="0" borderId="0" xfId="0" applyFont="1" applyAlignment="1" applyProtection="1">
      <alignment horizontal="center"/>
      <protection locked="0"/>
    </xf>
    <xf numFmtId="166" fontId="13" fillId="0" borderId="0" xfId="1" applyNumberFormat="1" applyFont="1" applyFill="1" applyBorder="1" applyAlignment="1" applyProtection="1">
      <alignment horizontal="center"/>
      <protection locked="0"/>
    </xf>
    <xf numFmtId="0" fontId="51" fillId="0" borderId="0" xfId="0" applyFont="1" applyAlignment="1" applyProtection="1">
      <alignment horizontal="left"/>
      <protection locked="0"/>
    </xf>
    <xf numFmtId="0" fontId="13" fillId="0" borderId="0" xfId="0" applyFont="1" applyAlignment="1">
      <alignment horizontal="center"/>
    </xf>
    <xf numFmtId="0" fontId="13" fillId="0" borderId="0" xfId="0" applyFont="1" applyProtection="1">
      <protection locked="0"/>
    </xf>
    <xf numFmtId="0" fontId="50" fillId="0" borderId="0" xfId="0" applyFont="1" applyAlignment="1" applyProtection="1">
      <alignment vertical="center"/>
      <protection locked="0"/>
    </xf>
    <xf numFmtId="0" fontId="50" fillId="0" borderId="0" xfId="0" applyFont="1" applyAlignment="1">
      <alignment horizontal="left" vertical="center" wrapText="1"/>
    </xf>
    <xf numFmtId="0" fontId="14" fillId="0" borderId="0" xfId="0" applyFont="1" applyAlignment="1">
      <alignment vertical="center"/>
    </xf>
    <xf numFmtId="0" fontId="14" fillId="0" borderId="0" xfId="0" applyFont="1" applyAlignment="1">
      <alignment horizontal="center" vertical="center"/>
    </xf>
    <xf numFmtId="43" fontId="50" fillId="0" borderId="0" xfId="0" applyNumberFormat="1" applyFont="1" applyAlignment="1" applyProtection="1">
      <alignment vertical="center"/>
      <protection locked="0"/>
    </xf>
    <xf numFmtId="0" fontId="14" fillId="0" borderId="0" xfId="0" applyFont="1" applyAlignment="1">
      <alignment horizontal="left" vertical="center" wrapText="1"/>
    </xf>
    <xf numFmtId="0" fontId="50" fillId="0" borderId="0" xfId="0" applyFont="1" applyAlignment="1">
      <alignment vertical="center"/>
    </xf>
    <xf numFmtId="0" fontId="50" fillId="0" borderId="0" xfId="0" applyFont="1" applyAlignment="1">
      <alignment vertical="center" wrapText="1"/>
    </xf>
    <xf numFmtId="0" fontId="50" fillId="0" borderId="0" xfId="0" applyFont="1" applyAlignment="1" applyProtection="1">
      <alignment vertical="center" wrapText="1"/>
      <protection locked="0"/>
    </xf>
    <xf numFmtId="1" fontId="44" fillId="4" borderId="7" xfId="0" applyNumberFormat="1" applyFont="1" applyFill="1" applyBorder="1" applyAlignment="1" applyProtection="1">
      <alignment vertical="center"/>
      <protection locked="0"/>
    </xf>
    <xf numFmtId="2" fontId="44" fillId="4" borderId="33" xfId="0" applyNumberFormat="1" applyFont="1" applyFill="1" applyBorder="1" applyAlignment="1">
      <alignment horizontal="center" vertical="center"/>
    </xf>
    <xf numFmtId="0" fontId="50" fillId="0" borderId="0" xfId="0" applyFont="1" applyAlignment="1">
      <alignment horizontal="center" vertical="center"/>
    </xf>
    <xf numFmtId="1" fontId="44" fillId="4" borderId="7" xfId="0" applyNumberFormat="1" applyFont="1" applyFill="1" applyBorder="1" applyAlignment="1">
      <alignment vertical="center"/>
    </xf>
    <xf numFmtId="167" fontId="52" fillId="0" borderId="0" xfId="2" applyNumberFormat="1" applyFont="1" applyFill="1" applyBorder="1" applyAlignment="1">
      <alignment horizontal="right" vertical="center"/>
    </xf>
    <xf numFmtId="0" fontId="53" fillId="0" borderId="0" xfId="0" applyFont="1" applyAlignment="1">
      <alignment horizontal="center" vertical="center"/>
    </xf>
    <xf numFmtId="2" fontId="54" fillId="0" borderId="0" xfId="0" applyNumberFormat="1" applyFont="1" applyAlignment="1">
      <alignment horizontal="center" vertical="center"/>
    </xf>
    <xf numFmtId="0" fontId="54" fillId="0" borderId="0" xfId="0" applyFont="1" applyAlignment="1">
      <alignment horizontal="center" vertical="center"/>
    </xf>
    <xf numFmtId="0" fontId="55" fillId="0" borderId="0" xfId="0" applyFont="1" applyAlignment="1">
      <alignment vertical="center"/>
    </xf>
    <xf numFmtId="2" fontId="39" fillId="4" borderId="33" xfId="0" applyNumberFormat="1" applyFont="1" applyFill="1" applyBorder="1" applyAlignment="1">
      <alignment horizontal="center" vertical="center"/>
    </xf>
    <xf numFmtId="3" fontId="50" fillId="0" borderId="0" xfId="0" applyNumberFormat="1" applyFont="1" applyAlignment="1">
      <alignment horizontal="left" vertical="center"/>
    </xf>
    <xf numFmtId="0" fontId="56" fillId="0" borderId="0" xfId="0" applyFont="1" applyAlignment="1">
      <alignment horizontal="right" vertical="center"/>
    </xf>
    <xf numFmtId="2" fontId="56" fillId="0" borderId="0" xfId="0" applyNumberFormat="1" applyFont="1" applyAlignment="1">
      <alignment horizontal="center" vertical="center"/>
    </xf>
    <xf numFmtId="2" fontId="57" fillId="0" borderId="0" xfId="0" applyNumberFormat="1" applyFont="1" applyAlignment="1">
      <alignment horizontal="center" vertical="center"/>
    </xf>
    <xf numFmtId="174" fontId="57" fillId="0" borderId="0" xfId="0" applyNumberFormat="1" applyFont="1" applyAlignment="1">
      <alignment horizontal="center" vertical="center"/>
    </xf>
    <xf numFmtId="174" fontId="50" fillId="0" borderId="0" xfId="0" applyNumberFormat="1" applyFont="1" applyAlignment="1">
      <alignment vertical="center"/>
    </xf>
    <xf numFmtId="2" fontId="50" fillId="0" borderId="0" xfId="0" applyNumberFormat="1" applyFont="1" applyAlignment="1" applyProtection="1">
      <alignment vertical="center"/>
      <protection locked="0"/>
    </xf>
    <xf numFmtId="0" fontId="44" fillId="4" borderId="7" xfId="0" applyFont="1" applyFill="1" applyBorder="1" applyAlignment="1" applyProtection="1">
      <alignment vertical="center"/>
      <protection locked="0"/>
    </xf>
    <xf numFmtId="0" fontId="58" fillId="0" borderId="0" xfId="0" applyFont="1" applyAlignment="1">
      <alignment vertical="center"/>
    </xf>
    <xf numFmtId="3" fontId="50" fillId="0" borderId="0" xfId="1" applyNumberFormat="1" applyFont="1" applyFill="1" applyBorder="1" applyAlignment="1" applyProtection="1">
      <alignment horizontal="left" vertical="center"/>
    </xf>
    <xf numFmtId="0" fontId="59" fillId="0" borderId="0" xfId="0" applyFont="1" applyAlignment="1">
      <alignment horizontal="right" vertical="center"/>
    </xf>
    <xf numFmtId="174" fontId="56" fillId="0" borderId="0" xfId="0" applyNumberFormat="1" applyFont="1" applyAlignment="1">
      <alignment horizontal="center" vertical="center"/>
    </xf>
    <xf numFmtId="0" fontId="57" fillId="0" borderId="0" xfId="0" applyFont="1" applyAlignment="1">
      <alignment horizontal="center" vertical="center"/>
    </xf>
    <xf numFmtId="0" fontId="58" fillId="0" borderId="0" xfId="0" applyFont="1" applyAlignment="1">
      <alignment horizontal="left" vertical="center"/>
    </xf>
    <xf numFmtId="10" fontId="60" fillId="0" borderId="0" xfId="2" applyNumberFormat="1" applyFont="1" applyFill="1" applyBorder="1" applyAlignment="1" applyProtection="1">
      <alignment horizontal="right" vertical="center"/>
    </xf>
    <xf numFmtId="2" fontId="61" fillId="0" borderId="0" xfId="0" applyNumberFormat="1" applyFont="1" applyAlignment="1">
      <alignment horizontal="center" vertical="center"/>
    </xf>
    <xf numFmtId="43" fontId="50" fillId="0" borderId="0" xfId="1" applyFont="1" applyBorder="1" applyAlignment="1" applyProtection="1">
      <alignment vertical="center"/>
    </xf>
    <xf numFmtId="172" fontId="60" fillId="0" borderId="0" xfId="0" applyNumberFormat="1" applyFont="1" applyAlignment="1">
      <alignment horizontal="right" vertical="center"/>
    </xf>
    <xf numFmtId="3" fontId="44" fillId="4" borderId="7" xfId="0" applyNumberFormat="1" applyFont="1" applyFill="1" applyBorder="1" applyAlignment="1" applyProtection="1">
      <alignment vertical="center" wrapText="1"/>
      <protection locked="0"/>
    </xf>
    <xf numFmtId="3" fontId="50" fillId="0" borderId="0" xfId="2" applyNumberFormat="1" applyFont="1" applyFill="1" applyBorder="1" applyAlignment="1" applyProtection="1">
      <alignment horizontal="left" vertical="center"/>
    </xf>
    <xf numFmtId="10" fontId="60" fillId="0" borderId="0" xfId="2" applyNumberFormat="1" applyFont="1" applyFill="1" applyBorder="1" applyAlignment="1" applyProtection="1">
      <alignment horizontal="center" vertical="center"/>
    </xf>
    <xf numFmtId="2" fontId="50" fillId="0" borderId="0" xfId="0" applyNumberFormat="1" applyFont="1" applyAlignment="1">
      <alignment vertical="center"/>
    </xf>
    <xf numFmtId="10" fontId="50" fillId="0" borderId="0" xfId="2" applyNumberFormat="1" applyFont="1" applyFill="1" applyBorder="1" applyAlignment="1" applyProtection="1">
      <alignment horizontal="center" vertical="center"/>
    </xf>
    <xf numFmtId="2" fontId="58" fillId="0" borderId="0" xfId="0" applyNumberFormat="1" applyFont="1" applyAlignment="1">
      <alignment horizontal="center" vertical="center"/>
    </xf>
    <xf numFmtId="2" fontId="50" fillId="0" borderId="0" xfId="0" applyNumberFormat="1" applyFont="1" applyAlignment="1">
      <alignment horizontal="center" vertical="center"/>
    </xf>
    <xf numFmtId="172" fontId="50" fillId="0" borderId="0" xfId="0" applyNumberFormat="1" applyFont="1" applyAlignment="1">
      <alignment horizontal="center" vertical="center"/>
    </xf>
    <xf numFmtId="0" fontId="14" fillId="0" borderId="0" xfId="0" applyFont="1" applyAlignment="1">
      <alignment vertical="center" wrapText="1"/>
    </xf>
    <xf numFmtId="10" fontId="14" fillId="0" borderId="0" xfId="2" applyNumberFormat="1" applyFont="1" applyFill="1" applyBorder="1" applyAlignment="1" applyProtection="1">
      <alignment horizontal="right" vertical="center"/>
    </xf>
    <xf numFmtId="10" fontId="14" fillId="0" borderId="0" xfId="2" applyNumberFormat="1" applyFont="1" applyFill="1" applyBorder="1" applyAlignment="1" applyProtection="1">
      <alignment horizontal="center" vertical="center"/>
    </xf>
    <xf numFmtId="0" fontId="14" fillId="0" borderId="0" xfId="0" applyFont="1" applyAlignment="1">
      <alignment horizontal="left" vertical="center"/>
    </xf>
    <xf numFmtId="3" fontId="50" fillId="0" borderId="0" xfId="0" applyNumberFormat="1" applyFont="1" applyAlignment="1">
      <alignment vertical="center"/>
    </xf>
    <xf numFmtId="3" fontId="44" fillId="4" borderId="22" xfId="0" applyNumberFormat="1" applyFont="1" applyFill="1" applyBorder="1" applyAlignment="1">
      <alignment horizontal="center" vertical="center"/>
    </xf>
    <xf numFmtId="2" fontId="12" fillId="0" borderId="0" xfId="0" applyNumberFormat="1" applyFont="1" applyAlignment="1">
      <alignment horizontal="center" vertical="center"/>
    </xf>
    <xf numFmtId="2" fontId="62" fillId="0" borderId="0" xfId="0" applyNumberFormat="1" applyFont="1" applyAlignment="1">
      <alignment horizontal="center" vertical="center"/>
    </xf>
    <xf numFmtId="2" fontId="12" fillId="0" borderId="0" xfId="0" applyNumberFormat="1" applyFont="1" applyAlignment="1">
      <alignment vertical="center"/>
    </xf>
    <xf numFmtId="2" fontId="62" fillId="0" borderId="0" xfId="0" applyNumberFormat="1" applyFont="1" applyAlignment="1">
      <alignment vertical="center"/>
    </xf>
    <xf numFmtId="2" fontId="13" fillId="0" borderId="0" xfId="0" applyNumberFormat="1" applyFont="1" applyAlignment="1" applyProtection="1">
      <alignment horizontal="center"/>
      <protection locked="0"/>
    </xf>
    <xf numFmtId="0" fontId="50" fillId="0" borderId="0" xfId="0" applyFont="1" applyAlignment="1">
      <alignment horizontal="center"/>
    </xf>
    <xf numFmtId="2" fontId="14" fillId="0" borderId="0" xfId="0" applyNumberFormat="1" applyFont="1"/>
    <xf numFmtId="0" fontId="50" fillId="0" borderId="0" xfId="0" applyFont="1"/>
    <xf numFmtId="2" fontId="50" fillId="0" borderId="0" xfId="0" applyNumberFormat="1" applyFont="1" applyAlignment="1">
      <alignment horizontal="center"/>
    </xf>
    <xf numFmtId="43" fontId="50" fillId="0" borderId="0" xfId="1" applyFont="1" applyBorder="1" applyAlignment="1" applyProtection="1">
      <alignment horizontal="center"/>
    </xf>
    <xf numFmtId="0" fontId="44" fillId="0" borderId="0" xfId="0" applyFont="1" applyAlignment="1">
      <alignment horizontal="center"/>
    </xf>
    <xf numFmtId="0" fontId="44" fillId="0" borderId="0" xfId="0" applyFont="1"/>
    <xf numFmtId="0" fontId="44" fillId="0" borderId="0" xfId="0" applyFont="1" applyAlignment="1">
      <alignment vertical="center"/>
    </xf>
    <xf numFmtId="0" fontId="44" fillId="0" borderId="0" xfId="0" applyFont="1" applyAlignment="1" applyProtection="1">
      <alignment vertical="center"/>
      <protection locked="0"/>
    </xf>
    <xf numFmtId="0" fontId="44" fillId="0" borderId="0" xfId="0" applyFont="1" applyAlignment="1" applyProtection="1">
      <alignment horizontal="center"/>
      <protection locked="0"/>
    </xf>
    <xf numFmtId="0" fontId="2" fillId="0" borderId="0" xfId="0" applyFont="1" applyAlignment="1">
      <alignment horizontal="center" vertical="center"/>
    </xf>
    <xf numFmtId="0" fontId="0" fillId="0" borderId="0" xfId="0" applyAlignment="1">
      <alignment vertical="center"/>
    </xf>
    <xf numFmtId="0" fontId="63" fillId="0" borderId="0" xfId="0" applyFont="1" applyAlignment="1">
      <alignment horizontal="center" vertical="center"/>
    </xf>
    <xf numFmtId="0" fontId="64" fillId="0" borderId="0" xfId="0" applyFont="1" applyAlignment="1">
      <alignment vertical="center"/>
    </xf>
    <xf numFmtId="2" fontId="0" fillId="0" borderId="0" xfId="0" applyNumberFormat="1" applyAlignment="1">
      <alignment horizontal="center" vertical="center"/>
    </xf>
    <xf numFmtId="2" fontId="0" fillId="0" borderId="0" xfId="0" applyNumberFormat="1" applyAlignment="1">
      <alignment vertical="center"/>
    </xf>
    <xf numFmtId="0" fontId="27" fillId="0" borderId="0" xfId="0" applyFont="1"/>
    <xf numFmtId="0" fontId="65" fillId="0" borderId="0" xfId="0" applyFont="1"/>
    <xf numFmtId="43" fontId="0" fillId="0" borderId="0" xfId="0" applyNumberFormat="1"/>
    <xf numFmtId="0" fontId="3" fillId="0" borderId="0" xfId="0" applyFont="1"/>
    <xf numFmtId="0" fontId="65" fillId="0" borderId="0" xfId="0" applyFont="1" applyAlignment="1">
      <alignment horizontal="center" vertical="center" wrapText="1"/>
    </xf>
    <xf numFmtId="0" fontId="65" fillId="4" borderId="33" xfId="0" applyFont="1" applyFill="1" applyBorder="1" applyAlignment="1">
      <alignment horizontal="center" vertical="center" wrapText="1"/>
    </xf>
    <xf numFmtId="0" fontId="65" fillId="4" borderId="28" xfId="0" applyFont="1" applyFill="1" applyBorder="1" applyAlignment="1">
      <alignment horizontal="center" vertical="center" wrapText="1"/>
    </xf>
    <xf numFmtId="0" fontId="65" fillId="0" borderId="0" xfId="0" applyFont="1" applyAlignment="1">
      <alignment wrapText="1"/>
    </xf>
    <xf numFmtId="0" fontId="67" fillId="3" borderId="49" xfId="0" applyFont="1" applyFill="1" applyBorder="1" applyAlignment="1">
      <alignment horizontal="center" vertical="center" wrapText="1"/>
    </xf>
    <xf numFmtId="3" fontId="44" fillId="3" borderId="10" xfId="2" applyNumberFormat="1" applyFont="1" applyFill="1" applyBorder="1" applyAlignment="1" applyProtection="1">
      <alignment horizontal="center" vertical="center"/>
    </xf>
    <xf numFmtId="1" fontId="44" fillId="4" borderId="22" xfId="0" applyNumberFormat="1" applyFont="1" applyFill="1" applyBorder="1" applyAlignment="1" applyProtection="1">
      <alignment vertical="center"/>
      <protection locked="0"/>
    </xf>
    <xf numFmtId="0" fontId="25" fillId="0" borderId="28" xfId="0" applyFont="1" applyBorder="1" applyAlignment="1">
      <alignment horizontal="center" vertical="center"/>
    </xf>
    <xf numFmtId="2" fontId="25" fillId="4" borderId="26" xfId="0" applyNumberFormat="1" applyFont="1" applyFill="1" applyBorder="1" applyAlignment="1">
      <alignment horizontal="center" vertical="center"/>
    </xf>
    <xf numFmtId="2" fontId="25" fillId="4" borderId="42" xfId="0" applyNumberFormat="1" applyFont="1" applyFill="1" applyBorder="1" applyAlignment="1">
      <alignment horizontal="center" vertical="center"/>
    </xf>
    <xf numFmtId="0" fontId="25" fillId="0" borderId="76" xfId="0" applyFont="1" applyBorder="1" applyAlignment="1">
      <alignment horizontal="center" vertical="center"/>
    </xf>
    <xf numFmtId="0" fontId="25" fillId="3" borderId="7" xfId="0" applyFont="1" applyFill="1" applyBorder="1"/>
    <xf numFmtId="0" fontId="25" fillId="3" borderId="50" xfId="0" applyFont="1" applyFill="1" applyBorder="1"/>
    <xf numFmtId="3" fontId="15" fillId="4" borderId="7" xfId="0" applyNumberFormat="1" applyFont="1" applyFill="1" applyBorder="1" applyAlignment="1">
      <alignment horizontal="center" vertical="center"/>
    </xf>
    <xf numFmtId="3" fontId="44" fillId="3" borderId="6" xfId="1" applyNumberFormat="1" applyFont="1" applyFill="1" applyBorder="1" applyAlignment="1" applyProtection="1">
      <alignment horizontal="center" vertical="center"/>
    </xf>
    <xf numFmtId="3" fontId="44" fillId="3" borderId="20" xfId="2" applyNumberFormat="1" applyFont="1" applyFill="1" applyBorder="1" applyAlignment="1" applyProtection="1">
      <alignment horizontal="center" vertical="center"/>
    </xf>
    <xf numFmtId="0" fontId="27" fillId="0" borderId="35" xfId="0" applyFont="1" applyBorder="1" applyAlignment="1">
      <alignment horizontal="center" vertical="center" wrapText="1"/>
    </xf>
    <xf numFmtId="3" fontId="44" fillId="0" borderId="11" xfId="0" applyNumberFormat="1" applyFont="1" applyBorder="1" applyAlignment="1">
      <alignment horizontal="center" vertical="center"/>
    </xf>
    <xf numFmtId="0" fontId="39" fillId="4" borderId="20" xfId="0" applyFont="1" applyFill="1" applyBorder="1" applyAlignment="1">
      <alignment horizontal="center" vertical="center" wrapText="1"/>
    </xf>
    <xf numFmtId="0" fontId="13" fillId="4" borderId="7" xfId="0" applyFont="1" applyFill="1" applyBorder="1" applyAlignment="1">
      <alignment vertical="center"/>
    </xf>
    <xf numFmtId="2" fontId="15" fillId="4" borderId="25" xfId="0" applyNumberFormat="1" applyFont="1" applyFill="1" applyBorder="1" applyAlignment="1">
      <alignment horizontal="center" vertical="center"/>
    </xf>
    <xf numFmtId="2" fontId="15" fillId="4" borderId="19" xfId="0" applyNumberFormat="1" applyFont="1" applyFill="1" applyBorder="1" applyAlignment="1">
      <alignment horizontal="center" vertical="center"/>
    </xf>
    <xf numFmtId="0" fontId="10" fillId="3" borderId="6" xfId="0" applyFont="1" applyFill="1" applyBorder="1" applyAlignment="1" applyProtection="1">
      <alignment horizontal="center" vertical="center"/>
      <protection locked="0"/>
    </xf>
    <xf numFmtId="0" fontId="25" fillId="4" borderId="7" xfId="0" applyFont="1" applyFill="1" applyBorder="1" applyAlignment="1">
      <alignment horizontal="center" vertical="center"/>
    </xf>
    <xf numFmtId="0" fontId="25" fillId="4" borderId="50" xfId="0" applyFont="1" applyFill="1" applyBorder="1" applyAlignment="1">
      <alignment horizontal="center" vertical="center"/>
    </xf>
    <xf numFmtId="2" fontId="25" fillId="4" borderId="33" xfId="0" applyNumberFormat="1" applyFont="1" applyFill="1" applyBorder="1" applyAlignment="1">
      <alignment horizontal="center" vertical="center"/>
    </xf>
    <xf numFmtId="2" fontId="25" fillId="4" borderId="28" xfId="0" applyNumberFormat="1" applyFont="1" applyFill="1" applyBorder="1" applyAlignment="1">
      <alignment horizontal="center" vertical="center"/>
    </xf>
    <xf numFmtId="0" fontId="6" fillId="3" borderId="3" xfId="0" applyFont="1" applyFill="1" applyBorder="1" applyAlignment="1" applyProtection="1">
      <alignment horizontal="center" vertical="center"/>
      <protection locked="0"/>
    </xf>
    <xf numFmtId="0" fontId="6" fillId="3" borderId="4" xfId="0" applyFont="1" applyFill="1" applyBorder="1" applyAlignment="1" applyProtection="1">
      <alignment horizontal="center" vertical="center"/>
      <protection locked="0"/>
    </xf>
    <xf numFmtId="0" fontId="6" fillId="3" borderId="2" xfId="0" applyFont="1" applyFill="1" applyBorder="1" applyAlignment="1" applyProtection="1">
      <alignment horizontal="center" vertical="center"/>
      <protection locked="0"/>
    </xf>
    <xf numFmtId="0" fontId="6" fillId="3" borderId="5" xfId="0" applyFont="1" applyFill="1" applyBorder="1" applyAlignment="1" applyProtection="1">
      <alignment vertical="center"/>
      <protection locked="0"/>
    </xf>
    <xf numFmtId="0" fontId="9" fillId="3" borderId="0" xfId="0" applyFont="1" applyFill="1" applyAlignment="1" applyProtection="1">
      <alignment horizontal="left" vertical="top" wrapText="1"/>
      <protection locked="0"/>
    </xf>
    <xf numFmtId="0" fontId="6" fillId="3" borderId="6" xfId="0" applyFont="1" applyFill="1" applyBorder="1" applyAlignment="1" applyProtection="1">
      <alignment vertical="center"/>
      <protection locked="0"/>
    </xf>
    <xf numFmtId="0" fontId="6" fillId="3" borderId="5" xfId="0" applyFont="1" applyFill="1" applyBorder="1" applyAlignment="1" applyProtection="1">
      <alignment horizontal="center" vertical="center"/>
      <protection locked="0"/>
    </xf>
    <xf numFmtId="0" fontId="6" fillId="3" borderId="0" xfId="0" applyFont="1" applyFill="1" applyAlignment="1" applyProtection="1">
      <alignment horizontal="center" vertical="center"/>
      <protection locked="0"/>
    </xf>
    <xf numFmtId="0" fontId="7" fillId="3" borderId="0" xfId="0" applyFont="1" applyFill="1" applyAlignment="1">
      <alignment horizontal="center" vertical="center"/>
    </xf>
    <xf numFmtId="0" fontId="11" fillId="3" borderId="0" xfId="3" applyFont="1" applyFill="1" applyBorder="1" applyAlignment="1">
      <alignment horizontal="center" vertical="center"/>
    </xf>
    <xf numFmtId="0" fontId="57" fillId="0" borderId="0" xfId="8" applyBorder="1"/>
    <xf numFmtId="0" fontId="57" fillId="0" borderId="0" xfId="9" applyNumberFormat="1" applyFont="1" applyBorder="1" applyAlignment="1"/>
    <xf numFmtId="0" fontId="5" fillId="0" borderId="0" xfId="3"/>
    <xf numFmtId="11" fontId="25" fillId="4" borderId="33" xfId="0" applyNumberFormat="1" applyFont="1" applyFill="1" applyBorder="1" applyAlignment="1">
      <alignment horizontal="center"/>
    </xf>
    <xf numFmtId="9" fontId="44" fillId="4" borderId="70" xfId="2" applyFont="1" applyFill="1" applyBorder="1" applyAlignment="1" applyProtection="1">
      <alignment horizontal="center" vertical="center"/>
      <protection locked="0"/>
    </xf>
    <xf numFmtId="3" fontId="44" fillId="4" borderId="69" xfId="2" applyNumberFormat="1" applyFont="1" applyFill="1" applyBorder="1" applyAlignment="1" applyProtection="1">
      <alignment horizontal="center" vertical="center"/>
      <protection locked="0"/>
    </xf>
    <xf numFmtId="9" fontId="44" fillId="4" borderId="71" xfId="0" applyNumberFormat="1" applyFont="1" applyFill="1" applyBorder="1" applyAlignment="1" applyProtection="1">
      <alignment horizontal="center" vertical="center"/>
      <protection locked="0"/>
    </xf>
    <xf numFmtId="3" fontId="44" fillId="4" borderId="71" xfId="0" applyNumberFormat="1" applyFont="1" applyFill="1" applyBorder="1" applyAlignment="1" applyProtection="1">
      <alignment horizontal="center" vertical="center"/>
      <protection locked="0"/>
    </xf>
    <xf numFmtId="3" fontId="44" fillId="4" borderId="72" xfId="0" applyNumberFormat="1" applyFont="1" applyFill="1" applyBorder="1" applyAlignment="1" applyProtection="1">
      <alignment horizontal="center" vertical="center"/>
      <protection locked="0"/>
    </xf>
    <xf numFmtId="9" fontId="44" fillId="4" borderId="72" xfId="2" applyFont="1" applyFill="1" applyBorder="1" applyAlignment="1" applyProtection="1">
      <alignment horizontal="center" vertical="center"/>
      <protection locked="0"/>
    </xf>
    <xf numFmtId="164" fontId="44" fillId="4" borderId="8" xfId="0" applyNumberFormat="1" applyFont="1" applyFill="1" applyBorder="1" applyAlignment="1">
      <alignment horizontal="center" vertical="center" wrapText="1"/>
    </xf>
    <xf numFmtId="11" fontId="44" fillId="4" borderId="33" xfId="0" applyNumberFormat="1" applyFont="1" applyFill="1" applyBorder="1" applyAlignment="1">
      <alignment horizontal="center" vertical="center"/>
    </xf>
    <xf numFmtId="11" fontId="0" fillId="4" borderId="20" xfId="1" applyNumberFormat="1" applyFont="1" applyFill="1" applyBorder="1" applyAlignment="1" applyProtection="1">
      <alignment horizontal="center" vertical="center"/>
    </xf>
    <xf numFmtId="11" fontId="0" fillId="4" borderId="20" xfId="0" applyNumberFormat="1" applyFill="1" applyBorder="1" applyAlignment="1">
      <alignment horizontal="center" vertical="center"/>
    </xf>
    <xf numFmtId="11" fontId="44" fillId="4" borderId="7" xfId="0" applyNumberFormat="1" applyFont="1" applyFill="1" applyBorder="1" applyAlignment="1">
      <alignment horizontal="center" vertical="center"/>
    </xf>
    <xf numFmtId="11" fontId="44" fillId="4" borderId="51" xfId="0" applyNumberFormat="1" applyFont="1" applyFill="1" applyBorder="1" applyAlignment="1">
      <alignment horizontal="center" vertical="center"/>
    </xf>
    <xf numFmtId="11" fontId="44" fillId="4" borderId="69" xfId="0" applyNumberFormat="1" applyFont="1" applyFill="1" applyBorder="1" applyAlignment="1" applyProtection="1">
      <alignment horizontal="center" vertical="center"/>
      <protection locked="0"/>
    </xf>
    <xf numFmtId="0" fontId="69" fillId="0" borderId="0" xfId="3" applyFont="1"/>
    <xf numFmtId="2" fontId="25" fillId="4" borderId="7" xfId="0" applyNumberFormat="1" applyFont="1" applyFill="1" applyBorder="1" applyAlignment="1">
      <alignment horizontal="center"/>
    </xf>
    <xf numFmtId="2" fontId="28" fillId="4" borderId="50" xfId="0" applyNumberFormat="1" applyFont="1" applyFill="1" applyBorder="1" applyAlignment="1">
      <alignment horizontal="center" vertical="center" wrapText="1"/>
    </xf>
    <xf numFmtId="11" fontId="44" fillId="4" borderId="7" xfId="0" applyNumberFormat="1" applyFont="1" applyFill="1" applyBorder="1" applyAlignment="1" applyProtection="1">
      <alignment vertical="center"/>
      <protection locked="0"/>
    </xf>
    <xf numFmtId="11" fontId="16" fillId="4" borderId="7" xfId="0" applyNumberFormat="1" applyFont="1" applyFill="1" applyBorder="1" applyAlignment="1">
      <alignment horizontal="center" vertical="center"/>
    </xf>
    <xf numFmtId="11" fontId="70" fillId="4" borderId="7" xfId="0" applyNumberFormat="1" applyFont="1" applyFill="1" applyBorder="1" applyAlignment="1">
      <alignment horizontal="center" vertical="center"/>
    </xf>
    <xf numFmtId="1" fontId="70" fillId="4" borderId="7" xfId="1" applyNumberFormat="1" applyFont="1" applyFill="1" applyBorder="1" applyAlignment="1">
      <alignment horizontal="center" vertical="center"/>
    </xf>
    <xf numFmtId="164" fontId="44" fillId="4" borderId="73" xfId="0" applyNumberFormat="1" applyFont="1" applyFill="1" applyBorder="1" applyAlignment="1" applyProtection="1">
      <alignment horizontal="center" vertical="center"/>
      <protection locked="0"/>
    </xf>
    <xf numFmtId="164" fontId="16" fillId="4" borderId="7" xfId="0" applyNumberFormat="1" applyFont="1" applyFill="1" applyBorder="1" applyAlignment="1">
      <alignment horizontal="center" vertical="center"/>
    </xf>
    <xf numFmtId="10" fontId="25" fillId="4" borderId="7" xfId="2" applyNumberFormat="1" applyFont="1" applyFill="1" applyBorder="1" applyAlignment="1">
      <alignment horizontal="right" vertical="center"/>
    </xf>
    <xf numFmtId="10" fontId="25" fillId="0" borderId="0" xfId="2" applyNumberFormat="1" applyFont="1"/>
    <xf numFmtId="166" fontId="44" fillId="4" borderId="7" xfId="1" applyNumberFormat="1" applyFont="1" applyFill="1" applyBorder="1" applyAlignment="1">
      <alignment vertical="center"/>
    </xf>
    <xf numFmtId="0" fontId="27" fillId="0" borderId="0" xfId="0" applyFont="1" applyAlignment="1" applyProtection="1">
      <alignment vertical="center" wrapText="1"/>
      <protection locked="0"/>
    </xf>
    <xf numFmtId="0" fontId="29" fillId="0" borderId="0" xfId="0" applyFont="1" applyAlignment="1" applyProtection="1">
      <alignment horizontal="center" vertical="center" wrapText="1"/>
      <protection locked="0"/>
    </xf>
    <xf numFmtId="3" fontId="44" fillId="4" borderId="0" xfId="0" applyNumberFormat="1" applyFont="1" applyFill="1" applyAlignment="1">
      <alignment horizontal="center" vertical="center" wrapText="1"/>
    </xf>
    <xf numFmtId="0" fontId="39" fillId="3" borderId="35" xfId="0" applyFont="1" applyFill="1" applyBorder="1" applyAlignment="1">
      <alignment vertical="center" wrapText="1"/>
    </xf>
    <xf numFmtId="0" fontId="39" fillId="3" borderId="42" xfId="0" applyFont="1" applyFill="1" applyBorder="1" applyAlignment="1">
      <alignment vertical="center" wrapText="1"/>
    </xf>
    <xf numFmtId="4" fontId="4" fillId="3" borderId="63" xfId="0" applyNumberFormat="1" applyFont="1" applyFill="1" applyBorder="1" applyAlignment="1">
      <alignment horizontal="center" vertical="center"/>
    </xf>
    <xf numFmtId="0" fontId="39" fillId="3" borderId="62" xfId="0" applyFont="1" applyFill="1" applyBorder="1" applyAlignment="1">
      <alignment vertical="center" wrapText="1"/>
    </xf>
    <xf numFmtId="3" fontId="4" fillId="3" borderId="42" xfId="0" applyNumberFormat="1" applyFont="1" applyFill="1" applyBorder="1" applyAlignment="1">
      <alignment horizontal="center" vertical="center"/>
    </xf>
    <xf numFmtId="3" fontId="4" fillId="3" borderId="63" xfId="0" applyNumberFormat="1" applyFont="1" applyFill="1" applyBorder="1" applyAlignment="1">
      <alignment horizontal="center" vertical="center"/>
    </xf>
    <xf numFmtId="3" fontId="4" fillId="3" borderId="50" xfId="0" applyNumberFormat="1" applyFont="1" applyFill="1" applyBorder="1" applyAlignment="1">
      <alignment horizontal="center" vertical="center"/>
    </xf>
    <xf numFmtId="9" fontId="0" fillId="0" borderId="0" xfId="0" applyNumberFormat="1"/>
    <xf numFmtId="0" fontId="0" fillId="0" borderId="0" xfId="0" quotePrefix="1"/>
    <xf numFmtId="0" fontId="22" fillId="0" borderId="0" xfId="0" applyFont="1" applyAlignment="1">
      <alignment wrapText="1"/>
    </xf>
    <xf numFmtId="3" fontId="44" fillId="3" borderId="24" xfId="1" applyNumberFormat="1" applyFont="1" applyFill="1" applyBorder="1" applyAlignment="1">
      <alignment horizontal="center" vertical="center"/>
    </xf>
    <xf numFmtId="164" fontId="44" fillId="4" borderId="7" xfId="0" applyNumberFormat="1" applyFont="1" applyFill="1" applyBorder="1" applyAlignment="1">
      <alignment horizontal="center" vertical="center"/>
    </xf>
    <xf numFmtId="11" fontId="0" fillId="4" borderId="51" xfId="0" applyNumberFormat="1" applyFill="1" applyBorder="1" applyAlignment="1">
      <alignment horizontal="center" vertical="center"/>
    </xf>
    <xf numFmtId="164" fontId="44" fillId="4" borderId="33" xfId="0" applyNumberFormat="1" applyFont="1" applyFill="1" applyBorder="1" applyAlignment="1" applyProtection="1">
      <alignment horizontal="center" vertical="center"/>
      <protection locked="0"/>
    </xf>
    <xf numFmtId="164" fontId="44" fillId="4" borderId="34" xfId="0" applyNumberFormat="1" applyFont="1" applyFill="1" applyBorder="1" applyAlignment="1" applyProtection="1">
      <alignment horizontal="center" vertical="center"/>
      <protection locked="0"/>
    </xf>
    <xf numFmtId="3" fontId="44" fillId="4" borderId="34" xfId="0" applyNumberFormat="1" applyFont="1" applyFill="1" applyBorder="1" applyAlignment="1" applyProtection="1">
      <alignment horizontal="center" vertical="center"/>
      <protection locked="0"/>
    </xf>
    <xf numFmtId="2" fontId="34" fillId="4" borderId="7" xfId="4" applyNumberFormat="1" applyFont="1" applyFill="1" applyBorder="1" applyAlignment="1">
      <alignment horizontal="right" vertical="center" wrapText="1"/>
    </xf>
    <xf numFmtId="0" fontId="71" fillId="3" borderId="22" xfId="0" applyFont="1" applyFill="1" applyBorder="1"/>
    <xf numFmtId="2" fontId="72" fillId="3" borderId="33" xfId="0" applyNumberFormat="1" applyFont="1" applyFill="1" applyBorder="1" applyAlignment="1">
      <alignment horizontal="center"/>
    </xf>
    <xf numFmtId="2" fontId="72" fillId="4" borderId="25" xfId="0" applyNumberFormat="1" applyFont="1" applyFill="1" applyBorder="1" applyAlignment="1">
      <alignment horizontal="center" vertical="center"/>
    </xf>
    <xf numFmtId="1" fontId="0" fillId="4" borderId="9" xfId="0" applyNumberFormat="1" applyFill="1" applyBorder="1" applyAlignment="1">
      <alignment horizontal="center" vertical="center"/>
    </xf>
    <xf numFmtId="1" fontId="0" fillId="4" borderId="7" xfId="0" applyNumberFormat="1" applyFill="1" applyBorder="1" applyAlignment="1">
      <alignment vertical="center"/>
    </xf>
    <xf numFmtId="2" fontId="39" fillId="4" borderId="34" xfId="0" applyNumberFormat="1" applyFont="1" applyFill="1" applyBorder="1" applyAlignment="1">
      <alignment horizontal="center" vertical="center"/>
    </xf>
    <xf numFmtId="37" fontId="44" fillId="4" borderId="54" xfId="0" applyNumberFormat="1" applyFont="1" applyFill="1" applyBorder="1" applyAlignment="1" applyProtection="1">
      <alignment horizontal="right" vertical="center"/>
      <protection locked="0"/>
    </xf>
    <xf numFmtId="170" fontId="0" fillId="4" borderId="7" xfId="0" applyNumberFormat="1" applyFill="1" applyBorder="1" applyAlignment="1">
      <alignment vertical="center"/>
    </xf>
    <xf numFmtId="1" fontId="0" fillId="4" borderId="7" xfId="0" applyNumberFormat="1" applyFill="1" applyBorder="1" applyAlignment="1">
      <alignment horizontal="center" vertical="center"/>
    </xf>
    <xf numFmtId="2" fontId="0" fillId="4" borderId="7" xfId="0" applyNumberFormat="1" applyFill="1" applyBorder="1" applyAlignment="1">
      <alignment vertical="center"/>
    </xf>
    <xf numFmtId="2" fontId="15" fillId="4" borderId="28" xfId="0" applyNumberFormat="1" applyFont="1" applyFill="1" applyBorder="1" applyAlignment="1">
      <alignment horizontal="center" vertical="center"/>
    </xf>
    <xf numFmtId="0" fontId="5" fillId="0" borderId="0" xfId="3" applyAlignment="1">
      <alignment wrapText="1"/>
    </xf>
    <xf numFmtId="0" fontId="0" fillId="0" borderId="7" xfId="0" applyBorder="1" applyAlignment="1">
      <alignment horizontal="center" vertical="center"/>
    </xf>
    <xf numFmtId="0" fontId="73" fillId="8" borderId="0" xfId="0" applyFont="1" applyFill="1" applyAlignment="1" applyProtection="1">
      <alignment vertical="center"/>
      <protection locked="0"/>
    </xf>
    <xf numFmtId="0" fontId="74" fillId="8" borderId="7" xfId="0" applyFont="1" applyFill="1" applyBorder="1" applyAlignment="1">
      <alignment horizontal="center" vertical="center"/>
    </xf>
    <xf numFmtId="0" fontId="76" fillId="9" borderId="7" xfId="0" applyFont="1" applyFill="1" applyBorder="1" applyAlignment="1">
      <alignment horizontal="center" vertical="center"/>
    </xf>
    <xf numFmtId="0" fontId="77" fillId="10" borderId="7" xfId="0" applyFont="1" applyFill="1" applyBorder="1" applyAlignment="1">
      <alignment horizontal="center" vertical="center"/>
    </xf>
    <xf numFmtId="0" fontId="76" fillId="11" borderId="7" xfId="0" applyFont="1" applyFill="1" applyBorder="1" applyAlignment="1">
      <alignment horizontal="center" vertical="center"/>
    </xf>
    <xf numFmtId="0" fontId="73" fillId="8" borderId="0" xfId="0" applyFont="1" applyFill="1" applyAlignment="1" applyProtection="1">
      <alignment horizontal="center" vertical="center"/>
      <protection locked="0"/>
    </xf>
    <xf numFmtId="3" fontId="73" fillId="8" borderId="0" xfId="0" applyNumberFormat="1" applyFont="1" applyFill="1" applyAlignment="1" applyProtection="1">
      <alignment horizontal="center" vertical="center"/>
      <protection locked="0"/>
    </xf>
    <xf numFmtId="0" fontId="73" fillId="8" borderId="0" xfId="0" quotePrefix="1" applyFont="1" applyFill="1" applyAlignment="1" applyProtection="1">
      <alignment horizontal="center" vertical="center"/>
      <protection locked="0"/>
    </xf>
    <xf numFmtId="37" fontId="73" fillId="8" borderId="0" xfId="1" applyNumberFormat="1" applyFont="1" applyFill="1" applyBorder="1" applyAlignment="1" applyProtection="1">
      <alignment horizontal="center" vertical="center" wrapText="1"/>
    </xf>
    <xf numFmtId="0" fontId="73" fillId="8" borderId="0" xfId="0" applyFont="1" applyFill="1" applyAlignment="1" applyProtection="1">
      <alignment horizontal="center" vertical="center" wrapText="1"/>
      <protection locked="0"/>
    </xf>
    <xf numFmtId="3" fontId="73" fillId="8" borderId="0" xfId="0" applyNumberFormat="1" applyFont="1" applyFill="1" applyAlignment="1">
      <alignment horizontal="center" vertical="center"/>
    </xf>
    <xf numFmtId="0" fontId="75" fillId="8" borderId="0" xfId="0" applyFont="1" applyFill="1" applyAlignment="1" applyProtection="1">
      <alignment vertical="center" wrapText="1"/>
      <protection locked="0"/>
    </xf>
    <xf numFmtId="166" fontId="73" fillId="8" borderId="0" xfId="1" applyNumberFormat="1" applyFont="1" applyFill="1" applyBorder="1" applyAlignment="1" applyProtection="1">
      <alignment horizontal="center" vertical="center" wrapText="1"/>
    </xf>
    <xf numFmtId="3" fontId="79" fillId="8" borderId="0" xfId="0" applyNumberFormat="1" applyFont="1" applyFill="1" applyAlignment="1" applyProtection="1">
      <alignment vertical="center"/>
      <protection locked="0"/>
    </xf>
    <xf numFmtId="0" fontId="79" fillId="8" borderId="0" xfId="0" applyFont="1" applyFill="1" applyAlignment="1">
      <alignment horizontal="center" vertical="center" wrapText="1"/>
    </xf>
    <xf numFmtId="0" fontId="79" fillId="8" borderId="0" xfId="0" applyFont="1" applyFill="1" applyAlignment="1" applyProtection="1">
      <alignment horizontal="center" vertical="center" wrapText="1"/>
      <protection locked="0"/>
    </xf>
    <xf numFmtId="0" fontId="73" fillId="8" borderId="0" xfId="0" applyFont="1" applyFill="1" applyAlignment="1">
      <alignment vertical="center"/>
    </xf>
    <xf numFmtId="167" fontId="73" fillId="8" borderId="0" xfId="2" applyNumberFormat="1" applyFont="1" applyFill="1" applyBorder="1" applyAlignment="1" applyProtection="1">
      <alignment horizontal="center" vertical="center" wrapText="1"/>
    </xf>
    <xf numFmtId="0" fontId="73" fillId="8" borderId="0" xfId="0" applyFont="1" applyFill="1" applyAlignment="1" applyProtection="1">
      <alignment horizontal="left" vertical="center" wrapText="1"/>
      <protection locked="0"/>
    </xf>
    <xf numFmtId="43" fontId="73" fillId="8" borderId="0" xfId="1" applyFont="1" applyFill="1" applyBorder="1" applyAlignment="1" applyProtection="1">
      <alignment horizontal="center" vertical="center" wrapText="1"/>
    </xf>
    <xf numFmtId="0" fontId="79" fillId="8" borderId="0" xfId="0" applyFont="1" applyFill="1" applyAlignment="1">
      <alignment vertical="center" wrapText="1"/>
    </xf>
    <xf numFmtId="0" fontId="80" fillId="8" borderId="0" xfId="0" applyFont="1" applyFill="1" applyAlignment="1">
      <alignment vertical="center" wrapText="1"/>
    </xf>
    <xf numFmtId="39" fontId="75" fillId="8" borderId="0" xfId="0" applyNumberFormat="1" applyFont="1" applyFill="1" applyAlignment="1" applyProtection="1">
      <alignment horizontal="center" vertical="center" wrapText="1"/>
      <protection locked="0"/>
    </xf>
    <xf numFmtId="0" fontId="79" fillId="8" borderId="0" xfId="0" applyFont="1" applyFill="1" applyAlignment="1">
      <alignment horizontal="center" vertical="center"/>
    </xf>
    <xf numFmtId="2" fontId="73" fillId="8" borderId="0" xfId="0" applyNumberFormat="1" applyFont="1" applyFill="1" applyAlignment="1">
      <alignment horizontal="center" vertical="center" wrapText="1"/>
    </xf>
    <xf numFmtId="0" fontId="73" fillId="8" borderId="0" xfId="0" applyFont="1" applyFill="1" applyAlignment="1">
      <alignment vertical="center" wrapText="1"/>
    </xf>
    <xf numFmtId="0" fontId="73" fillId="8" borderId="0" xfId="0" applyFont="1" applyFill="1" applyAlignment="1">
      <alignment horizontal="center" vertical="center"/>
    </xf>
    <xf numFmtId="0" fontId="79" fillId="8" borderId="0" xfId="0" applyFont="1" applyFill="1" applyAlignment="1">
      <alignment horizontal="left" vertical="center" wrapText="1"/>
    </xf>
    <xf numFmtId="2" fontId="79" fillId="8" borderId="0" xfId="0" applyNumberFormat="1" applyFont="1" applyFill="1" applyAlignment="1">
      <alignment horizontal="center" vertical="center"/>
    </xf>
    <xf numFmtId="4" fontId="73" fillId="8" borderId="0" xfId="0" applyNumberFormat="1" applyFont="1" applyFill="1" applyAlignment="1">
      <alignment horizontal="center" vertical="center"/>
    </xf>
    <xf numFmtId="0" fontId="73" fillId="8" borderId="0" xfId="0" applyFont="1" applyFill="1" applyAlignment="1">
      <alignment horizontal="left" vertical="center"/>
    </xf>
    <xf numFmtId="2" fontId="73" fillId="8" borderId="0" xfId="2" applyNumberFormat="1" applyFont="1" applyFill="1" applyBorder="1" applyAlignment="1" applyProtection="1">
      <alignment horizontal="center" vertical="center"/>
    </xf>
    <xf numFmtId="0" fontId="82" fillId="8" borderId="0" xfId="0" applyFont="1" applyFill="1" applyAlignment="1" applyProtection="1">
      <alignment horizontal="right" vertical="center"/>
      <protection locked="0"/>
    </xf>
    <xf numFmtId="37" fontId="82" fillId="8" borderId="0" xfId="1" applyNumberFormat="1" applyFont="1" applyFill="1" applyBorder="1" applyAlignment="1" applyProtection="1">
      <alignment horizontal="center" vertical="center"/>
    </xf>
    <xf numFmtId="2" fontId="82" fillId="8" borderId="0" xfId="2" applyNumberFormat="1" applyFont="1" applyFill="1" applyBorder="1" applyAlignment="1" applyProtection="1">
      <alignment horizontal="right" vertical="center"/>
    </xf>
    <xf numFmtId="168" fontId="79" fillId="8" borderId="0" xfId="1" applyNumberFormat="1" applyFont="1" applyFill="1" applyBorder="1" applyAlignment="1" applyProtection="1">
      <alignment horizontal="center" vertical="center"/>
    </xf>
    <xf numFmtId="169" fontId="79" fillId="8" borderId="0" xfId="0" applyNumberFormat="1" applyFont="1" applyFill="1" applyAlignment="1">
      <alignment horizontal="center" vertical="center"/>
    </xf>
    <xf numFmtId="37" fontId="82" fillId="8" borderId="0" xfId="0" applyNumberFormat="1" applyFont="1" applyFill="1" applyAlignment="1">
      <alignment horizontal="center" vertical="center"/>
    </xf>
    <xf numFmtId="0" fontId="82" fillId="8" borderId="0" xfId="0" applyFont="1" applyFill="1" applyAlignment="1">
      <alignment horizontal="left" vertical="center"/>
    </xf>
    <xf numFmtId="170" fontId="73" fillId="8" borderId="0" xfId="0" applyNumberFormat="1" applyFont="1" applyFill="1" applyAlignment="1">
      <alignment vertical="center"/>
    </xf>
    <xf numFmtId="2" fontId="73" fillId="8" borderId="0" xfId="0" applyNumberFormat="1" applyFont="1" applyFill="1" applyAlignment="1">
      <alignment horizontal="center" vertical="center"/>
    </xf>
    <xf numFmtId="0" fontId="79" fillId="8" borderId="0" xfId="0" applyFont="1" applyFill="1" applyAlignment="1">
      <alignment horizontal="left" vertical="center"/>
    </xf>
    <xf numFmtId="4" fontId="79" fillId="8" borderId="0" xfId="0" applyNumberFormat="1" applyFont="1" applyFill="1" applyAlignment="1">
      <alignment horizontal="center" vertical="center"/>
    </xf>
    <xf numFmtId="4" fontId="73" fillId="8" borderId="0" xfId="0" applyNumberFormat="1" applyFont="1" applyFill="1" applyAlignment="1" applyProtection="1">
      <alignment vertical="center"/>
      <protection locked="0"/>
    </xf>
    <xf numFmtId="166" fontId="73" fillId="8" borderId="0" xfId="1" applyNumberFormat="1" applyFont="1" applyFill="1" applyBorder="1" applyAlignment="1" applyProtection="1">
      <alignment vertical="center"/>
    </xf>
    <xf numFmtId="0" fontId="82" fillId="8" borderId="0" xfId="0" applyFont="1" applyFill="1" applyAlignment="1">
      <alignment horizontal="right" vertical="center"/>
    </xf>
    <xf numFmtId="43" fontId="73" fillId="8" borderId="0" xfId="0" applyNumberFormat="1" applyFont="1" applyFill="1" applyAlignment="1">
      <alignment vertical="center"/>
    </xf>
    <xf numFmtId="1" fontId="73" fillId="8" borderId="0" xfId="0" applyNumberFormat="1" applyFont="1" applyFill="1" applyAlignment="1">
      <alignment vertical="center"/>
    </xf>
    <xf numFmtId="0" fontId="82" fillId="8" borderId="0" xfId="0" applyFont="1" applyFill="1" applyAlignment="1">
      <alignment horizontal="right" vertical="center" wrapText="1"/>
    </xf>
    <xf numFmtId="37" fontId="73" fillId="8" borderId="0" xfId="0" applyNumberFormat="1" applyFont="1" applyFill="1" applyAlignment="1">
      <alignment vertical="center"/>
    </xf>
    <xf numFmtId="39" fontId="79" fillId="8" borderId="0" xfId="1" applyNumberFormat="1" applyFont="1" applyFill="1" applyBorder="1" applyAlignment="1" applyProtection="1">
      <alignment horizontal="center" vertical="center"/>
    </xf>
    <xf numFmtId="172" fontId="79" fillId="8" borderId="0" xfId="0" applyNumberFormat="1" applyFont="1" applyFill="1" applyAlignment="1">
      <alignment horizontal="center" vertical="center"/>
    </xf>
    <xf numFmtId="2" fontId="73" fillId="8" borderId="0" xfId="0" applyNumberFormat="1" applyFont="1" applyFill="1" applyAlignment="1">
      <alignment vertical="center" wrapText="1"/>
    </xf>
    <xf numFmtId="2" fontId="84" fillId="9" borderId="16" xfId="0" applyNumberFormat="1" applyFont="1" applyFill="1" applyBorder="1" applyAlignment="1">
      <alignment horizontal="left" vertical="center"/>
    </xf>
    <xf numFmtId="0" fontId="85" fillId="8" borderId="18" xfId="0" applyFont="1" applyFill="1" applyBorder="1" applyAlignment="1">
      <alignment horizontal="center" vertical="center" wrapText="1"/>
    </xf>
    <xf numFmtId="2" fontId="85" fillId="8" borderId="19" xfId="0" applyNumberFormat="1" applyFont="1" applyFill="1" applyBorder="1" applyAlignment="1">
      <alignment horizontal="center" vertical="center" wrapText="1"/>
    </xf>
    <xf numFmtId="0" fontId="85" fillId="8" borderId="20" xfId="0" applyFont="1" applyFill="1" applyBorder="1" applyAlignment="1">
      <alignment horizontal="right" vertical="center"/>
    </xf>
    <xf numFmtId="0" fontId="85" fillId="8" borderId="22" xfId="0" applyFont="1" applyFill="1" applyBorder="1" applyAlignment="1">
      <alignment vertical="center"/>
    </xf>
    <xf numFmtId="2" fontId="84" fillId="11" borderId="23" xfId="0" applyNumberFormat="1" applyFont="1" applyFill="1" applyBorder="1" applyAlignment="1">
      <alignment horizontal="center" vertical="center"/>
    </xf>
    <xf numFmtId="0" fontId="85" fillId="8" borderId="24" xfId="0" applyFont="1" applyFill="1" applyBorder="1" applyAlignment="1">
      <alignment horizontal="right" vertical="center"/>
    </xf>
    <xf numFmtId="0" fontId="85" fillId="8" borderId="24" xfId="0" applyFont="1" applyFill="1" applyBorder="1" applyAlignment="1">
      <alignment horizontal="right" vertical="center" wrapText="1"/>
    </xf>
    <xf numFmtId="0" fontId="85" fillId="8" borderId="10" xfId="0" applyFont="1" applyFill="1" applyBorder="1" applyAlignment="1">
      <alignment vertical="center"/>
    </xf>
    <xf numFmtId="0" fontId="85" fillId="8" borderId="20" xfId="0" applyFont="1" applyFill="1" applyBorder="1" applyAlignment="1">
      <alignment horizontal="right" vertical="center" wrapText="1"/>
    </xf>
    <xf numFmtId="0" fontId="85" fillId="8" borderId="13" xfId="0" applyFont="1" applyFill="1" applyBorder="1" applyAlignment="1">
      <alignment vertical="center"/>
    </xf>
    <xf numFmtId="0" fontId="86" fillId="8" borderId="16" xfId="0" applyFont="1" applyFill="1" applyBorder="1" applyAlignment="1">
      <alignment horizontal="center" vertical="center"/>
    </xf>
    <xf numFmtId="0" fontId="86" fillId="8" borderId="29" xfId="0" applyFont="1" applyFill="1" applyBorder="1" applyAlignment="1">
      <alignment horizontal="center" vertical="center" wrapText="1"/>
    </xf>
    <xf numFmtId="0" fontId="86" fillId="8" borderId="30" xfId="0" applyFont="1" applyFill="1" applyBorder="1" applyAlignment="1">
      <alignment horizontal="center" vertical="center"/>
    </xf>
    <xf numFmtId="0" fontId="86" fillId="8" borderId="19" xfId="0" applyFont="1" applyFill="1" applyBorder="1" applyAlignment="1">
      <alignment horizontal="center" vertical="center" wrapText="1"/>
    </xf>
    <xf numFmtId="0" fontId="85" fillId="8" borderId="32" xfId="0" applyFont="1" applyFill="1" applyBorder="1" applyAlignment="1">
      <alignment vertical="center"/>
    </xf>
    <xf numFmtId="0" fontId="87" fillId="8" borderId="7" xfId="0" applyFont="1" applyFill="1" applyBorder="1" applyAlignment="1">
      <alignment horizontal="center" vertical="center"/>
    </xf>
    <xf numFmtId="0" fontId="87" fillId="8" borderId="22" xfId="0" applyFont="1" applyFill="1" applyBorder="1"/>
    <xf numFmtId="0" fontId="87" fillId="8" borderId="32" xfId="0" applyFont="1" applyFill="1" applyBorder="1" applyAlignment="1">
      <alignment horizontal="right" vertical="center"/>
    </xf>
    <xf numFmtId="0" fontId="87" fillId="8" borderId="7" xfId="0" applyFont="1" applyFill="1" applyBorder="1"/>
    <xf numFmtId="0" fontId="85" fillId="12" borderId="32" xfId="0" applyFont="1" applyFill="1" applyBorder="1" applyAlignment="1">
      <alignment horizontal="right" vertical="center"/>
    </xf>
    <xf numFmtId="0" fontId="85" fillId="8" borderId="32" xfId="0" applyFont="1" applyFill="1" applyBorder="1" applyAlignment="1">
      <alignment horizontal="right" vertical="center"/>
    </xf>
    <xf numFmtId="0" fontId="85" fillId="8" borderId="7" xfId="0" applyFont="1" applyFill="1" applyBorder="1" applyAlignment="1">
      <alignment horizontal="center" vertical="center"/>
    </xf>
    <xf numFmtId="0" fontId="85" fillId="8" borderId="21" xfId="0" applyFont="1" applyFill="1" applyBorder="1" applyAlignment="1">
      <alignment horizontal="right" vertical="center"/>
    </xf>
    <xf numFmtId="0" fontId="87" fillId="8" borderId="21" xfId="0" applyFont="1" applyFill="1" applyBorder="1"/>
    <xf numFmtId="3" fontId="87" fillId="8" borderId="22" xfId="0" applyNumberFormat="1" applyFont="1" applyFill="1" applyBorder="1" applyAlignment="1">
      <alignment vertical="center" wrapText="1"/>
    </xf>
    <xf numFmtId="0" fontId="87" fillId="12" borderId="32" xfId="0" applyFont="1" applyFill="1" applyBorder="1" applyAlignment="1">
      <alignment horizontal="right" vertical="center"/>
    </xf>
    <xf numFmtId="0" fontId="85" fillId="13" borderId="32" xfId="0" applyFont="1" applyFill="1" applyBorder="1" applyAlignment="1">
      <alignment vertical="center" wrapText="1"/>
    </xf>
    <xf numFmtId="0" fontId="87" fillId="8" borderId="11" xfId="0" applyFont="1" applyFill="1" applyBorder="1"/>
    <xf numFmtId="0" fontId="85" fillId="8" borderId="16" xfId="0" applyFont="1" applyFill="1" applyBorder="1"/>
    <xf numFmtId="0" fontId="85" fillId="12" borderId="32" xfId="0" applyFont="1" applyFill="1" applyBorder="1" applyAlignment="1">
      <alignment horizontal="left" vertical="center"/>
    </xf>
    <xf numFmtId="0" fontId="87" fillId="8" borderId="20" xfId="0" applyFont="1" applyFill="1" applyBorder="1" applyAlignment="1">
      <alignment vertical="center" wrapText="1"/>
    </xf>
    <xf numFmtId="2" fontId="90" fillId="9" borderId="34" xfId="0" applyNumberFormat="1" applyFont="1" applyFill="1" applyBorder="1" applyAlignment="1">
      <alignment horizontal="center" vertical="center"/>
    </xf>
    <xf numFmtId="2" fontId="90" fillId="11" borderId="34" xfId="0" applyNumberFormat="1" applyFont="1" applyFill="1" applyBorder="1" applyAlignment="1">
      <alignment horizontal="center" vertical="center"/>
    </xf>
    <xf numFmtId="0" fontId="85" fillId="12" borderId="37" xfId="0" applyFont="1" applyFill="1" applyBorder="1" applyAlignment="1">
      <alignment horizontal="left" vertical="center"/>
    </xf>
    <xf numFmtId="0" fontId="87" fillId="8" borderId="22" xfId="0" applyFont="1" applyFill="1" applyBorder="1" applyAlignment="1">
      <alignment horizontal="right" vertical="center"/>
    </xf>
    <xf numFmtId="0" fontId="85" fillId="8" borderId="38" xfId="0" applyFont="1" applyFill="1" applyBorder="1" applyAlignment="1">
      <alignment vertical="center"/>
    </xf>
    <xf numFmtId="0" fontId="87" fillId="8" borderId="40" xfId="0" applyFont="1" applyFill="1" applyBorder="1" applyAlignment="1">
      <alignment vertical="center"/>
    </xf>
    <xf numFmtId="2" fontId="90" fillId="9" borderId="41" xfId="0" applyNumberFormat="1" applyFont="1" applyFill="1" applyBorder="1" applyAlignment="1">
      <alignment horizontal="center" vertical="center"/>
    </xf>
    <xf numFmtId="0" fontId="87" fillId="8" borderId="35" xfId="0" applyFont="1" applyFill="1" applyBorder="1" applyAlignment="1">
      <alignment vertical="center" wrapText="1"/>
    </xf>
    <xf numFmtId="0" fontId="92" fillId="8" borderId="44" xfId="0" applyFont="1" applyFill="1" applyBorder="1" applyAlignment="1" applyProtection="1">
      <alignment vertical="center"/>
      <protection locked="0"/>
    </xf>
    <xf numFmtId="0" fontId="92" fillId="8" borderId="14" xfId="0" applyFont="1" applyFill="1" applyBorder="1" applyAlignment="1" applyProtection="1">
      <alignment vertical="center"/>
      <protection locked="0"/>
    </xf>
    <xf numFmtId="0" fontId="92" fillId="8" borderId="15" xfId="0" applyFont="1" applyFill="1" applyBorder="1" applyAlignment="1" applyProtection="1">
      <alignment vertical="center"/>
      <protection locked="0"/>
    </xf>
    <xf numFmtId="0" fontId="94" fillId="8" borderId="45" xfId="0" applyFont="1" applyFill="1" applyBorder="1" applyAlignment="1">
      <alignment horizontal="center" vertical="center" wrapText="1"/>
    </xf>
    <xf numFmtId="0" fontId="94" fillId="8" borderId="46" xfId="0" applyFont="1" applyFill="1" applyBorder="1" applyAlignment="1">
      <alignment horizontal="center" vertical="center" wrapText="1"/>
    </xf>
    <xf numFmtId="0" fontId="94" fillId="8" borderId="47" xfId="0" applyFont="1" applyFill="1" applyBorder="1" applyAlignment="1">
      <alignment horizontal="center" vertical="center" wrapText="1"/>
    </xf>
    <xf numFmtId="0" fontId="94" fillId="8" borderId="25" xfId="0" applyFont="1" applyFill="1" applyBorder="1" applyAlignment="1">
      <alignment horizontal="center" vertical="center" wrapText="1"/>
    </xf>
    <xf numFmtId="0" fontId="95" fillId="9" borderId="48" xfId="0" applyFont="1" applyFill="1" applyBorder="1" applyAlignment="1">
      <alignment horizontal="center" vertical="center"/>
    </xf>
    <xf numFmtId="0" fontId="94" fillId="8" borderId="20" xfId="0" applyFont="1" applyFill="1" applyBorder="1" applyAlignment="1">
      <alignment horizontal="center" vertical="center" wrapText="1"/>
    </xf>
    <xf numFmtId="0" fontId="94" fillId="8" borderId="7" xfId="0" applyFont="1" applyFill="1" applyBorder="1" applyAlignment="1">
      <alignment horizontal="center" vertical="center"/>
    </xf>
    <xf numFmtId="0" fontId="94" fillId="8" borderId="7" xfId="0" applyFont="1" applyFill="1" applyBorder="1" applyAlignment="1">
      <alignment horizontal="center" vertical="center" wrapText="1"/>
    </xf>
    <xf numFmtId="0" fontId="94" fillId="8" borderId="33" xfId="0" applyFont="1" applyFill="1" applyBorder="1" applyAlignment="1">
      <alignment horizontal="center" vertical="center"/>
    </xf>
    <xf numFmtId="0" fontId="95" fillId="9" borderId="48" xfId="0" applyFont="1" applyFill="1" applyBorder="1" applyAlignment="1">
      <alignment horizontal="center" vertical="center" wrapText="1"/>
    </xf>
    <xf numFmtId="173" fontId="95" fillId="9" borderId="20" xfId="0" applyNumberFormat="1" applyFont="1" applyFill="1" applyBorder="1" applyAlignment="1">
      <alignment horizontal="center" vertical="center"/>
    </xf>
    <xf numFmtId="0" fontId="95" fillId="9" borderId="7" xfId="0" applyFont="1" applyFill="1" applyBorder="1" applyAlignment="1">
      <alignment horizontal="center" vertical="center"/>
    </xf>
    <xf numFmtId="2" fontId="95" fillId="9" borderId="7" xfId="0" applyNumberFormat="1" applyFont="1" applyFill="1" applyBorder="1" applyAlignment="1">
      <alignment horizontal="center" vertical="center"/>
    </xf>
    <xf numFmtId="3" fontId="95" fillId="9" borderId="7" xfId="0" applyNumberFormat="1" applyFont="1" applyFill="1" applyBorder="1" applyAlignment="1" applyProtection="1">
      <alignment horizontal="center" vertical="center"/>
      <protection locked="0"/>
    </xf>
    <xf numFmtId="0" fontId="94" fillId="8" borderId="49" xfId="0" applyFont="1" applyFill="1" applyBorder="1" applyAlignment="1">
      <alignment horizontal="center" vertical="center"/>
    </xf>
    <xf numFmtId="0" fontId="94" fillId="8" borderId="45" xfId="0" applyFont="1" applyFill="1" applyBorder="1" applyAlignment="1">
      <alignment horizontal="center" vertical="center"/>
    </xf>
    <xf numFmtId="0" fontId="94" fillId="8" borderId="49" xfId="0" applyFont="1" applyFill="1" applyBorder="1" applyAlignment="1">
      <alignment horizontal="center" vertical="center" wrapText="1"/>
    </xf>
    <xf numFmtId="0" fontId="94" fillId="8" borderId="29" xfId="0" applyFont="1" applyFill="1" applyBorder="1" applyAlignment="1">
      <alignment horizontal="center" vertical="center" wrapText="1"/>
    </xf>
    <xf numFmtId="0" fontId="95" fillId="9" borderId="20" xfId="0" applyFont="1" applyFill="1" applyBorder="1" applyAlignment="1">
      <alignment horizontal="center" vertical="center"/>
    </xf>
    <xf numFmtId="174" fontId="95" fillId="9" borderId="7" xfId="0" applyNumberFormat="1" applyFont="1" applyFill="1" applyBorder="1" applyAlignment="1">
      <alignment horizontal="center" vertical="center"/>
    </xf>
    <xf numFmtId="174" fontId="95" fillId="9" borderId="33" xfId="0" applyNumberFormat="1" applyFont="1" applyFill="1" applyBorder="1" applyAlignment="1">
      <alignment horizontal="center" vertical="center"/>
    </xf>
    <xf numFmtId="0" fontId="92" fillId="8" borderId="60" xfId="0" applyFont="1" applyFill="1" applyBorder="1" applyAlignment="1" applyProtection="1">
      <alignment horizontal="center" vertical="center" wrapText="1"/>
      <protection locked="0"/>
    </xf>
    <xf numFmtId="0" fontId="92" fillId="8" borderId="14" xfId="0" applyFont="1" applyFill="1" applyBorder="1" applyAlignment="1" applyProtection="1">
      <alignment horizontal="center" vertical="center" wrapText="1"/>
      <protection locked="0"/>
    </xf>
    <xf numFmtId="0" fontId="92" fillId="8" borderId="15" xfId="0" applyFont="1" applyFill="1" applyBorder="1" applyAlignment="1" applyProtection="1">
      <alignment horizontal="center" vertical="center" wrapText="1"/>
      <protection locked="0"/>
    </xf>
    <xf numFmtId="0" fontId="94" fillId="8" borderId="30" xfId="0" applyFont="1" applyFill="1" applyBorder="1" applyAlignment="1">
      <alignment horizontal="center" vertical="center" wrapText="1"/>
    </xf>
    <xf numFmtId="0" fontId="94" fillId="8" borderId="19" xfId="0" applyFont="1" applyFill="1" applyBorder="1" applyAlignment="1">
      <alignment horizontal="center" vertical="center" wrapText="1"/>
    </xf>
    <xf numFmtId="0" fontId="94" fillId="8" borderId="16" xfId="0" applyFont="1" applyFill="1" applyBorder="1" applyAlignment="1">
      <alignment horizontal="center" vertical="center" wrapText="1"/>
    </xf>
    <xf numFmtId="0" fontId="94" fillId="8" borderId="19" xfId="0" applyFont="1" applyFill="1" applyBorder="1" applyAlignment="1" applyProtection="1">
      <alignment horizontal="center" vertical="center" wrapText="1"/>
      <protection locked="0"/>
    </xf>
    <xf numFmtId="0" fontId="94" fillId="8" borderId="20" xfId="0" applyFont="1" applyFill="1" applyBorder="1" applyAlignment="1" applyProtection="1">
      <alignment horizontal="center" vertical="center" wrapText="1"/>
      <protection locked="0"/>
    </xf>
    <xf numFmtId="0" fontId="94" fillId="8" borderId="26" xfId="0" applyFont="1" applyFill="1" applyBorder="1" applyAlignment="1" applyProtection="1">
      <alignment horizontal="center" vertical="center" wrapText="1"/>
      <protection locked="0"/>
    </xf>
    <xf numFmtId="0" fontId="94" fillId="8" borderId="26" xfId="0" applyFont="1" applyFill="1" applyBorder="1" applyAlignment="1">
      <alignment horizontal="center" vertical="center"/>
    </xf>
    <xf numFmtId="3" fontId="95" fillId="9" borderId="7" xfId="0" applyNumberFormat="1" applyFont="1" applyFill="1" applyBorder="1" applyAlignment="1">
      <alignment horizontal="center" vertical="center"/>
    </xf>
    <xf numFmtId="172" fontId="95" fillId="9" borderId="33" xfId="0" applyNumberFormat="1" applyFont="1" applyFill="1" applyBorder="1" applyAlignment="1">
      <alignment horizontal="center" vertical="center"/>
    </xf>
    <xf numFmtId="172" fontId="95" fillId="9" borderId="32" xfId="0" applyNumberFormat="1" applyFont="1" applyFill="1" applyBorder="1" applyAlignment="1">
      <alignment horizontal="center" vertical="center"/>
    </xf>
    <xf numFmtId="10" fontId="95" fillId="9" borderId="33" xfId="0" applyNumberFormat="1" applyFont="1" applyFill="1" applyBorder="1" applyAlignment="1">
      <alignment horizontal="center" vertical="center"/>
    </xf>
    <xf numFmtId="0" fontId="94" fillId="8" borderId="20" xfId="0" applyFont="1" applyFill="1" applyBorder="1" applyAlignment="1">
      <alignment horizontal="center" vertical="center"/>
    </xf>
    <xf numFmtId="0" fontId="94" fillId="8" borderId="33" xfId="0" applyFont="1" applyFill="1" applyBorder="1" applyAlignment="1">
      <alignment horizontal="center" vertical="center" wrapText="1"/>
    </xf>
    <xf numFmtId="10" fontId="95" fillId="9" borderId="7" xfId="0" applyNumberFormat="1" applyFont="1" applyFill="1" applyBorder="1" applyAlignment="1">
      <alignment horizontal="center" vertical="center"/>
    </xf>
    <xf numFmtId="0" fontId="95" fillId="9" borderId="50" xfId="0" applyFont="1" applyFill="1" applyBorder="1" applyAlignment="1">
      <alignment horizontal="center" vertical="center"/>
    </xf>
    <xf numFmtId="10" fontId="95" fillId="9" borderId="50" xfId="0" applyNumberFormat="1" applyFont="1" applyFill="1" applyBorder="1" applyAlignment="1">
      <alignment horizontal="center" vertical="center"/>
    </xf>
    <xf numFmtId="0" fontId="95" fillId="9" borderId="33" xfId="0" applyFont="1" applyFill="1" applyBorder="1" applyAlignment="1">
      <alignment horizontal="center" vertical="center"/>
    </xf>
    <xf numFmtId="0" fontId="94" fillId="8" borderId="35" xfId="0" applyFont="1" applyFill="1" applyBorder="1" applyAlignment="1">
      <alignment horizontal="center" vertical="center" wrapText="1"/>
    </xf>
    <xf numFmtId="0" fontId="94" fillId="8" borderId="52" xfId="0" applyFont="1" applyFill="1" applyBorder="1" applyAlignment="1" applyProtection="1">
      <alignment horizontal="center" vertical="center" wrapText="1"/>
      <protection locked="0"/>
    </xf>
    <xf numFmtId="0" fontId="101" fillId="9" borderId="53" xfId="0" applyFont="1" applyFill="1" applyBorder="1" applyAlignment="1" applyProtection="1">
      <alignment horizontal="center" vertical="center" wrapText="1"/>
      <protection locked="0"/>
    </xf>
    <xf numFmtId="0" fontId="94" fillId="8" borderId="11" xfId="0" applyFont="1" applyFill="1" applyBorder="1" applyAlignment="1">
      <alignment horizontal="center" vertical="center" wrapText="1"/>
    </xf>
    <xf numFmtId="2" fontId="101" fillId="14" borderId="28" xfId="0" applyNumberFormat="1" applyFont="1" applyFill="1" applyBorder="1" applyAlignment="1">
      <alignment horizontal="center" vertical="center" wrapText="1"/>
    </xf>
    <xf numFmtId="0" fontId="94" fillId="8" borderId="54" xfId="0" applyFont="1" applyFill="1" applyBorder="1" applyAlignment="1">
      <alignment horizontal="center"/>
    </xf>
    <xf numFmtId="0" fontId="94" fillId="8" borderId="41" xfId="0" applyFont="1" applyFill="1" applyBorder="1" applyAlignment="1">
      <alignment horizontal="center"/>
    </xf>
    <xf numFmtId="0" fontId="99" fillId="8" borderId="20" xfId="0" applyFont="1" applyFill="1" applyBorder="1" applyAlignment="1">
      <alignment horizontal="left" vertical="center" wrapText="1"/>
    </xf>
    <xf numFmtId="0" fontId="94" fillId="8" borderId="0" xfId="0" applyFont="1" applyFill="1" applyAlignment="1">
      <alignment horizontal="left" vertical="center"/>
    </xf>
    <xf numFmtId="0" fontId="99" fillId="8" borderId="33" xfId="0" applyFont="1" applyFill="1" applyBorder="1" applyAlignment="1">
      <alignment horizontal="center" vertical="center" wrapText="1"/>
    </xf>
    <xf numFmtId="0" fontId="92" fillId="8" borderId="59" xfId="0" applyFont="1" applyFill="1" applyBorder="1" applyAlignment="1" applyProtection="1">
      <alignment horizontal="left" vertical="center"/>
      <protection locked="0"/>
    </xf>
    <xf numFmtId="0" fontId="104" fillId="8" borderId="24" xfId="0" applyFont="1" applyFill="1" applyBorder="1" applyAlignment="1" applyProtection="1">
      <alignment horizontal="center" vertical="center"/>
      <protection locked="0"/>
    </xf>
    <xf numFmtId="2" fontId="105" fillId="11" borderId="47" xfId="0" applyNumberFormat="1" applyFont="1" applyFill="1" applyBorder="1" applyAlignment="1">
      <alignment horizontal="center" vertical="center"/>
    </xf>
    <xf numFmtId="0" fontId="104" fillId="8" borderId="20" xfId="0" applyFont="1" applyFill="1" applyBorder="1" applyAlignment="1" applyProtection="1">
      <alignment horizontal="center" vertical="center"/>
      <protection locked="0"/>
    </xf>
    <xf numFmtId="2" fontId="105" fillId="11" borderId="7" xfId="0" applyNumberFormat="1" applyFont="1" applyFill="1" applyBorder="1" applyAlignment="1">
      <alignment horizontal="center" vertical="center"/>
    </xf>
    <xf numFmtId="0" fontId="104" fillId="8" borderId="35" xfId="0" applyFont="1" applyFill="1" applyBorder="1" applyAlignment="1" applyProtection="1">
      <alignment horizontal="center" vertical="center"/>
      <protection locked="0"/>
    </xf>
    <xf numFmtId="2" fontId="105" fillId="11" borderId="50" xfId="0" applyNumberFormat="1" applyFont="1" applyFill="1" applyBorder="1" applyAlignment="1">
      <alignment horizontal="center" vertical="center"/>
    </xf>
    <xf numFmtId="0" fontId="94" fillId="8" borderId="24" xfId="0" applyFont="1" applyFill="1" applyBorder="1" applyAlignment="1" applyProtection="1">
      <alignment horizontal="left" vertical="center" wrapText="1"/>
      <protection locked="0"/>
    </xf>
    <xf numFmtId="0" fontId="94" fillId="8" borderId="11" xfId="0" applyFont="1" applyFill="1" applyBorder="1" applyAlignment="1" applyProtection="1">
      <alignment horizontal="left" vertical="center" wrapText="1"/>
      <protection locked="0"/>
    </xf>
    <xf numFmtId="0" fontId="94" fillId="8" borderId="36" xfId="0" applyFont="1" applyFill="1" applyBorder="1" applyAlignment="1" applyProtection="1">
      <alignment horizontal="center" vertical="center" wrapText="1"/>
      <protection locked="0"/>
    </xf>
    <xf numFmtId="0" fontId="94" fillId="8" borderId="52" xfId="0" applyFont="1" applyFill="1" applyBorder="1" applyAlignment="1" applyProtection="1">
      <alignment horizontal="left" vertical="center" wrapText="1"/>
      <protection locked="0"/>
    </xf>
    <xf numFmtId="0" fontId="94" fillId="8" borderId="22" xfId="0" applyFont="1" applyFill="1" applyBorder="1" applyAlignment="1" applyProtection="1">
      <alignment horizontal="left" vertical="center" wrapText="1"/>
      <protection locked="0"/>
    </xf>
    <xf numFmtId="0" fontId="94" fillId="8" borderId="4" xfId="0" applyFont="1" applyFill="1" applyBorder="1" applyAlignment="1" applyProtection="1">
      <alignment horizontal="left" vertical="center" wrapText="1"/>
      <protection locked="0"/>
    </xf>
    <xf numFmtId="0" fontId="94" fillId="8" borderId="40" xfId="0" applyFont="1" applyFill="1" applyBorder="1" applyAlignment="1" applyProtection="1">
      <alignment vertical="center" wrapText="1"/>
      <protection locked="0"/>
    </xf>
    <xf numFmtId="0" fontId="94" fillId="8" borderId="20" xfId="0" applyFont="1" applyFill="1" applyBorder="1" applyAlignment="1" applyProtection="1">
      <alignment vertical="center" wrapText="1"/>
      <protection locked="0"/>
    </xf>
    <xf numFmtId="0" fontId="94" fillId="8" borderId="47" xfId="0" applyFont="1" applyFill="1" applyBorder="1" applyAlignment="1" applyProtection="1">
      <alignment horizontal="center" vertical="center" wrapText="1"/>
      <protection locked="0"/>
    </xf>
    <xf numFmtId="0" fontId="94" fillId="8" borderId="27" xfId="0" applyFont="1" applyFill="1" applyBorder="1" applyAlignment="1" applyProtection="1">
      <alignment horizontal="left" vertical="center" wrapText="1"/>
      <protection locked="0"/>
    </xf>
    <xf numFmtId="0" fontId="94" fillId="8" borderId="63" xfId="0" applyFont="1" applyFill="1" applyBorder="1" applyAlignment="1" applyProtection="1">
      <alignment horizontal="left" vertical="center" wrapText="1"/>
      <protection locked="0"/>
    </xf>
    <xf numFmtId="0" fontId="94" fillId="8" borderId="12" xfId="0" applyFont="1" applyFill="1" applyBorder="1" applyAlignment="1" applyProtection="1">
      <alignment horizontal="center" vertical="center" wrapText="1"/>
      <protection locked="0"/>
    </xf>
    <xf numFmtId="0" fontId="101" fillId="9" borderId="43" xfId="0" applyFont="1" applyFill="1" applyBorder="1" applyAlignment="1" applyProtection="1">
      <alignment horizontal="center" vertical="center" wrapText="1"/>
      <protection locked="0"/>
    </xf>
    <xf numFmtId="0" fontId="94" fillId="8" borderId="53" xfId="0" applyFont="1" applyFill="1" applyBorder="1" applyAlignment="1" applyProtection="1">
      <alignment vertical="center" wrapText="1"/>
      <protection locked="0"/>
    </xf>
    <xf numFmtId="0" fontId="80" fillId="8" borderId="16" xfId="0" applyFont="1" applyFill="1" applyBorder="1" applyAlignment="1" applyProtection="1">
      <alignment horizontal="left" vertical="center" wrapText="1"/>
      <protection locked="0"/>
    </xf>
    <xf numFmtId="0" fontId="106" fillId="9" borderId="19" xfId="0" applyFont="1" applyFill="1" applyBorder="1" applyAlignment="1" applyProtection="1">
      <alignment horizontal="center" vertical="center"/>
      <protection locked="0"/>
    </xf>
    <xf numFmtId="0" fontId="94" fillId="8" borderId="65" xfId="0" applyFont="1" applyFill="1" applyBorder="1" applyAlignment="1" applyProtection="1">
      <alignment horizontal="center" vertical="center" wrapText="1"/>
      <protection locked="0"/>
    </xf>
    <xf numFmtId="0" fontId="80" fillId="8" borderId="20" xfId="0" applyFont="1" applyFill="1" applyBorder="1" applyAlignment="1" applyProtection="1">
      <alignment horizontal="left" vertical="center" wrapText="1"/>
      <protection locked="0"/>
    </xf>
    <xf numFmtId="4" fontId="106" fillId="9" borderId="25" xfId="0" applyNumberFormat="1" applyFont="1" applyFill="1" applyBorder="1" applyAlignment="1" applyProtection="1">
      <alignment horizontal="center" vertical="center" wrapText="1"/>
      <protection locked="0"/>
    </xf>
    <xf numFmtId="0" fontId="94" fillId="8" borderId="66" xfId="0" applyFont="1" applyFill="1" applyBorder="1" applyAlignment="1" applyProtection="1">
      <alignment horizontal="center" vertical="center" wrapText="1"/>
      <protection locked="0"/>
    </xf>
    <xf numFmtId="0" fontId="94" fillId="8" borderId="24" xfId="0" applyFont="1" applyFill="1" applyBorder="1" applyAlignment="1" applyProtection="1">
      <alignment horizontal="center" vertical="center" wrapText="1"/>
      <protection locked="0"/>
    </xf>
    <xf numFmtId="0" fontId="94" fillId="8" borderId="25" xfId="0" applyFont="1" applyFill="1" applyBorder="1" applyAlignment="1" applyProtection="1">
      <alignment horizontal="center" vertical="center" wrapText="1"/>
      <protection locked="0"/>
    </xf>
    <xf numFmtId="0" fontId="94" fillId="8" borderId="7" xfId="0" applyFont="1" applyFill="1" applyBorder="1" applyAlignment="1" applyProtection="1">
      <alignment horizontal="center" vertical="center" wrapText="1"/>
      <protection locked="0"/>
    </xf>
    <xf numFmtId="0" fontId="94" fillId="8" borderId="11" xfId="0" applyFont="1" applyFill="1" applyBorder="1" applyAlignment="1" applyProtection="1">
      <alignment horizontal="center" vertical="center" wrapText="1"/>
      <protection locked="0"/>
    </xf>
    <xf numFmtId="0" fontId="94" fillId="8" borderId="9" xfId="0" applyFont="1" applyFill="1" applyBorder="1" applyAlignment="1" applyProtection="1">
      <alignment horizontal="center" vertical="center" wrapText="1"/>
      <protection locked="0"/>
    </xf>
    <xf numFmtId="0" fontId="94" fillId="8" borderId="10" xfId="0" applyFont="1" applyFill="1" applyBorder="1" applyAlignment="1" applyProtection="1">
      <alignment horizontal="center" vertical="center" wrapText="1"/>
      <protection locked="0"/>
    </xf>
    <xf numFmtId="0" fontId="94" fillId="8" borderId="58" xfId="0" applyFont="1" applyFill="1" applyBorder="1" applyAlignment="1" applyProtection="1">
      <alignment horizontal="center" vertical="center" wrapText="1"/>
      <protection locked="0"/>
    </xf>
    <xf numFmtId="164" fontId="106" fillId="9" borderId="33" xfId="0" applyNumberFormat="1" applyFont="1" applyFill="1" applyBorder="1" applyAlignment="1" applyProtection="1">
      <alignment horizontal="center" vertical="center" wrapText="1"/>
      <protection locked="0"/>
    </xf>
    <xf numFmtId="0" fontId="94" fillId="8" borderId="22" xfId="0" applyFont="1" applyFill="1" applyBorder="1" applyAlignment="1" applyProtection="1">
      <alignment horizontal="center" vertical="center" wrapText="1"/>
      <protection locked="0"/>
    </xf>
    <xf numFmtId="0" fontId="101" fillId="9" borderId="51" xfId="0" applyFont="1" applyFill="1" applyBorder="1" applyAlignment="1" applyProtection="1">
      <alignment horizontal="center" vertical="center" wrapText="1"/>
      <protection locked="0"/>
    </xf>
    <xf numFmtId="0" fontId="94" fillId="8" borderId="51" xfId="0" applyFont="1" applyFill="1" applyBorder="1" applyAlignment="1" applyProtection="1">
      <alignment horizontal="center" vertical="center" wrapText="1"/>
      <protection locked="0"/>
    </xf>
    <xf numFmtId="0" fontId="94" fillId="8" borderId="33" xfId="0" applyFont="1" applyFill="1" applyBorder="1" applyAlignment="1" applyProtection="1">
      <alignment horizontal="center" vertical="center" wrapText="1"/>
      <protection locked="0"/>
    </xf>
    <xf numFmtId="0" fontId="94" fillId="8" borderId="67" xfId="0" applyFont="1" applyFill="1" applyBorder="1" applyAlignment="1" applyProtection="1">
      <alignment horizontal="center" vertical="center" wrapText="1"/>
      <protection locked="0"/>
    </xf>
    <xf numFmtId="3" fontId="76" fillId="9" borderId="20" xfId="0" applyNumberFormat="1" applyFont="1" applyFill="1" applyBorder="1" applyAlignment="1" applyProtection="1">
      <alignment horizontal="center"/>
      <protection locked="0"/>
    </xf>
    <xf numFmtId="10" fontId="76" fillId="9" borderId="25" xfId="2" applyNumberFormat="1" applyFont="1" applyFill="1" applyBorder="1" applyAlignment="1" applyProtection="1">
      <alignment horizontal="center"/>
      <protection locked="0"/>
    </xf>
    <xf numFmtId="3" fontId="76" fillId="9" borderId="24" xfId="2" applyNumberFormat="1" applyFont="1" applyFill="1" applyBorder="1" applyAlignment="1" applyProtection="1">
      <alignment horizontal="center"/>
      <protection locked="0"/>
    </xf>
    <xf numFmtId="10" fontId="76" fillId="9" borderId="10" xfId="2" applyNumberFormat="1" applyFont="1" applyFill="1" applyBorder="1" applyAlignment="1" applyProtection="1">
      <alignment horizontal="center"/>
      <protection locked="0"/>
    </xf>
    <xf numFmtId="3" fontId="76" fillId="9" borderId="24" xfId="0" applyNumberFormat="1" applyFont="1" applyFill="1" applyBorder="1" applyAlignment="1" applyProtection="1">
      <alignment horizontal="center"/>
      <protection locked="0"/>
    </xf>
    <xf numFmtId="10" fontId="76" fillId="9" borderId="25" xfId="0" applyNumberFormat="1" applyFont="1" applyFill="1" applyBorder="1" applyAlignment="1" applyProtection="1">
      <alignment horizontal="center"/>
      <protection locked="0"/>
    </xf>
    <xf numFmtId="3" fontId="76" fillId="9" borderId="11" xfId="0" applyNumberFormat="1" applyFont="1" applyFill="1" applyBorder="1" applyAlignment="1" applyProtection="1">
      <alignment horizontal="center"/>
      <protection locked="0"/>
    </xf>
    <xf numFmtId="3" fontId="76" fillId="9" borderId="47" xfId="0" applyNumberFormat="1" applyFont="1" applyFill="1" applyBorder="1" applyAlignment="1" applyProtection="1">
      <alignment horizontal="center"/>
      <protection locked="0"/>
    </xf>
    <xf numFmtId="164" fontId="76" fillId="9" borderId="10" xfId="0" applyNumberFormat="1" applyFont="1" applyFill="1" applyBorder="1" applyAlignment="1" applyProtection="1">
      <alignment horizontal="center"/>
      <protection locked="0"/>
    </xf>
    <xf numFmtId="3" fontId="76" fillId="9" borderId="47" xfId="1" applyNumberFormat="1" applyFont="1" applyFill="1" applyBorder="1" applyAlignment="1" applyProtection="1">
      <alignment horizontal="center"/>
      <protection locked="0"/>
    </xf>
    <xf numFmtId="3" fontId="76" fillId="9" borderId="47" xfId="1" applyNumberFormat="1" applyFont="1" applyFill="1" applyBorder="1" applyAlignment="1" applyProtection="1">
      <alignment horizontal="center" vertical="center"/>
      <protection locked="0"/>
    </xf>
    <xf numFmtId="164" fontId="76" fillId="9" borderId="11" xfId="1" applyNumberFormat="1" applyFont="1" applyFill="1" applyBorder="1" applyAlignment="1" applyProtection="1">
      <alignment horizontal="center"/>
      <protection locked="0"/>
    </xf>
    <xf numFmtId="3" fontId="76" fillId="9" borderId="11" xfId="1" applyNumberFormat="1" applyFont="1" applyFill="1" applyBorder="1" applyAlignment="1" applyProtection="1">
      <alignment horizontal="center"/>
      <protection locked="0"/>
    </xf>
    <xf numFmtId="164" fontId="76" fillId="9" borderId="47" xfId="1" applyNumberFormat="1" applyFont="1" applyFill="1" applyBorder="1" applyAlignment="1" applyProtection="1">
      <alignment horizontal="center"/>
      <protection locked="0"/>
    </xf>
    <xf numFmtId="170" fontId="76" fillId="9" borderId="47" xfId="1" applyNumberFormat="1" applyFont="1" applyFill="1" applyBorder="1" applyAlignment="1" applyProtection="1">
      <alignment horizontal="center"/>
      <protection locked="0"/>
    </xf>
    <xf numFmtId="10" fontId="76" fillId="9" borderId="7" xfId="2" applyNumberFormat="1" applyFont="1" applyFill="1" applyBorder="1" applyAlignment="1" applyProtection="1">
      <alignment horizontal="center"/>
      <protection locked="0"/>
    </xf>
    <xf numFmtId="3" fontId="76" fillId="9" borderId="25" xfId="1" applyNumberFormat="1" applyFont="1" applyFill="1" applyBorder="1" applyAlignment="1" applyProtection="1">
      <alignment horizontal="center"/>
      <protection locked="0"/>
    </xf>
    <xf numFmtId="3" fontId="76" fillId="9" borderId="52" xfId="0" applyNumberFormat="1" applyFont="1" applyFill="1" applyBorder="1" applyAlignment="1" applyProtection="1">
      <alignment horizontal="center"/>
      <protection locked="0"/>
    </xf>
    <xf numFmtId="0" fontId="76" fillId="9" borderId="25" xfId="2" applyNumberFormat="1" applyFont="1" applyFill="1" applyBorder="1" applyAlignment="1" applyProtection="1">
      <alignment horizontal="center"/>
      <protection locked="0"/>
    </xf>
    <xf numFmtId="0" fontId="99" fillId="8" borderId="36" xfId="0" applyFont="1" applyFill="1" applyBorder="1" applyAlignment="1" applyProtection="1">
      <alignment horizontal="center" vertical="center"/>
      <protection locked="0"/>
    </xf>
    <xf numFmtId="2" fontId="76" fillId="14" borderId="45" xfId="0" applyNumberFormat="1" applyFont="1" applyFill="1" applyBorder="1" applyAlignment="1">
      <alignment horizontal="center"/>
    </xf>
    <xf numFmtId="0" fontId="77" fillId="8" borderId="36" xfId="0" applyFont="1" applyFill="1" applyBorder="1" applyAlignment="1" applyProtection="1">
      <alignment horizontal="center"/>
      <protection locked="0"/>
    </xf>
    <xf numFmtId="0" fontId="94" fillId="8" borderId="45" xfId="0" applyFont="1" applyFill="1" applyBorder="1" applyAlignment="1">
      <alignment horizontal="left" vertical="center" wrapText="1"/>
    </xf>
    <xf numFmtId="9" fontId="77" fillId="8" borderId="36" xfId="2" applyFont="1" applyFill="1" applyBorder="1" applyAlignment="1" applyProtection="1">
      <alignment horizontal="left" vertical="top" wrapText="1"/>
      <protection locked="0"/>
    </xf>
    <xf numFmtId="0" fontId="77" fillId="8" borderId="45" xfId="0" applyFont="1" applyFill="1" applyBorder="1" applyAlignment="1">
      <alignment horizontal="center" vertical="center"/>
    </xf>
    <xf numFmtId="164" fontId="105" fillId="9" borderId="36" xfId="2" applyNumberFormat="1" applyFont="1" applyFill="1" applyBorder="1" applyAlignment="1" applyProtection="1">
      <alignment horizontal="center"/>
      <protection locked="0"/>
    </xf>
    <xf numFmtId="0" fontId="77" fillId="8" borderId="58" xfId="0" applyFont="1" applyFill="1" applyBorder="1" applyAlignment="1" applyProtection="1">
      <alignment horizontal="center"/>
      <protection locked="0"/>
    </xf>
    <xf numFmtId="164" fontId="105" fillId="9" borderId="36" xfId="0" applyNumberFormat="1" applyFont="1" applyFill="1" applyBorder="1" applyAlignment="1" applyProtection="1">
      <alignment horizontal="center" vertical="center"/>
      <protection locked="0"/>
    </xf>
    <xf numFmtId="0" fontId="77" fillId="8" borderId="45" xfId="0" applyFont="1" applyFill="1" applyBorder="1"/>
    <xf numFmtId="10" fontId="105" fillId="9" borderId="36" xfId="0" applyNumberFormat="1" applyFont="1" applyFill="1" applyBorder="1" applyAlignment="1" applyProtection="1">
      <alignment horizontal="center" vertical="center"/>
      <protection locked="0"/>
    </xf>
    <xf numFmtId="3" fontId="76" fillId="9" borderId="37" xfId="0" applyNumberFormat="1" applyFont="1" applyFill="1" applyBorder="1" applyAlignment="1" applyProtection="1">
      <alignment horizontal="center"/>
      <protection locked="0"/>
    </xf>
    <xf numFmtId="3" fontId="76" fillId="9" borderId="8" xfId="0" applyNumberFormat="1" applyFont="1" applyFill="1" applyBorder="1" applyAlignment="1" applyProtection="1">
      <alignment horizontal="center"/>
      <protection locked="0"/>
    </xf>
    <xf numFmtId="0" fontId="76" fillId="9" borderId="23" xfId="2" applyNumberFormat="1" applyFont="1" applyFill="1" applyBorder="1" applyAlignment="1" applyProtection="1">
      <alignment horizontal="center"/>
      <protection locked="0"/>
    </xf>
    <xf numFmtId="0" fontId="77" fillId="8" borderId="68" xfId="0" applyFont="1" applyFill="1" applyBorder="1" applyAlignment="1" applyProtection="1">
      <alignment horizontal="center"/>
      <protection locked="0"/>
    </xf>
    <xf numFmtId="0" fontId="77" fillId="8" borderId="45" xfId="0" applyFont="1" applyFill="1" applyBorder="1" applyAlignment="1">
      <alignment horizontal="center" vertical="center" wrapText="1"/>
    </xf>
    <xf numFmtId="0" fontId="77" fillId="8" borderId="67" xfId="0" applyFont="1" applyFill="1" applyBorder="1" applyAlignment="1">
      <alignment horizontal="center" vertical="center" wrapText="1"/>
    </xf>
    <xf numFmtId="0" fontId="104" fillId="8" borderId="74" xfId="0" applyFont="1" applyFill="1" applyBorder="1" applyAlignment="1">
      <alignment horizontal="center" vertical="center" wrapText="1"/>
    </xf>
    <xf numFmtId="0" fontId="104" fillId="8" borderId="20" xfId="0" applyFont="1" applyFill="1" applyBorder="1" applyAlignment="1">
      <alignment vertical="center" wrapText="1"/>
    </xf>
    <xf numFmtId="0" fontId="104" fillId="8" borderId="26" xfId="0" applyFont="1" applyFill="1" applyBorder="1" applyAlignment="1">
      <alignment vertical="center" wrapText="1"/>
    </xf>
    <xf numFmtId="3" fontId="77" fillId="8" borderId="4" xfId="0" applyNumberFormat="1" applyFont="1" applyFill="1" applyBorder="1" applyAlignment="1">
      <alignment horizontal="center" vertical="center"/>
    </xf>
    <xf numFmtId="3" fontId="77" fillId="8" borderId="20" xfId="0" applyNumberFormat="1" applyFont="1" applyFill="1" applyBorder="1" applyAlignment="1">
      <alignment horizontal="center" vertical="center"/>
    </xf>
    <xf numFmtId="3" fontId="77" fillId="8" borderId="7" xfId="0" applyNumberFormat="1" applyFont="1" applyFill="1" applyBorder="1" applyAlignment="1">
      <alignment horizontal="center" vertical="center"/>
    </xf>
    <xf numFmtId="37" fontId="77" fillId="8" borderId="20" xfId="0" applyNumberFormat="1" applyFont="1" applyFill="1" applyBorder="1" applyAlignment="1">
      <alignment horizontal="center" vertical="center"/>
    </xf>
    <xf numFmtId="37" fontId="77" fillId="8" borderId="7" xfId="0" applyNumberFormat="1" applyFont="1" applyFill="1" applyBorder="1" applyAlignment="1">
      <alignment horizontal="center" vertical="center"/>
    </xf>
    <xf numFmtId="3" fontId="77" fillId="8" borderId="32" xfId="0" applyNumberFormat="1" applyFont="1" applyFill="1" applyBorder="1" applyAlignment="1">
      <alignment horizontal="center" vertical="center"/>
    </xf>
    <xf numFmtId="3" fontId="77" fillId="8" borderId="33" xfId="0" applyNumberFormat="1" applyFont="1" applyFill="1" applyBorder="1" applyAlignment="1">
      <alignment horizontal="center" vertical="center"/>
    </xf>
    <xf numFmtId="3" fontId="77" fillId="8" borderId="26" xfId="0" applyNumberFormat="1" applyFont="1" applyFill="1" applyBorder="1" applyAlignment="1">
      <alignment horizontal="center" vertical="center"/>
    </xf>
    <xf numFmtId="0" fontId="104" fillId="8" borderId="75" xfId="0" applyFont="1" applyFill="1" applyBorder="1" applyAlignment="1">
      <alignment horizontal="center" vertical="center" wrapText="1"/>
    </xf>
    <xf numFmtId="3" fontId="77" fillId="10" borderId="50" xfId="0" applyNumberFormat="1" applyFont="1" applyFill="1" applyBorder="1" applyAlignment="1">
      <alignment horizontal="center" vertical="center"/>
    </xf>
    <xf numFmtId="3" fontId="77" fillId="10" borderId="35" xfId="0" applyNumberFormat="1" applyFont="1" applyFill="1" applyBorder="1" applyAlignment="1">
      <alignment horizontal="center" vertical="center"/>
    </xf>
    <xf numFmtId="3" fontId="77" fillId="10" borderId="63" xfId="0" applyNumberFormat="1" applyFont="1" applyFill="1" applyBorder="1" applyAlignment="1">
      <alignment horizontal="center" vertical="center"/>
    </xf>
    <xf numFmtId="3" fontId="77" fillId="10" borderId="61" xfId="0" applyNumberFormat="1" applyFont="1" applyFill="1" applyBorder="1" applyAlignment="1">
      <alignment horizontal="center" vertical="center"/>
    </xf>
    <xf numFmtId="0" fontId="104" fillId="8" borderId="20" xfId="0" applyFont="1" applyFill="1" applyBorder="1" applyAlignment="1">
      <alignment vertical="center"/>
    </xf>
    <xf numFmtId="0" fontId="104" fillId="8" borderId="7" xfId="0" applyFont="1" applyFill="1" applyBorder="1" applyAlignment="1">
      <alignment vertical="center"/>
    </xf>
    <xf numFmtId="0" fontId="104" fillId="8" borderId="7" xfId="0" applyFont="1" applyFill="1" applyBorder="1" applyAlignment="1" applyProtection="1">
      <alignment horizontal="center" vertical="center" wrapText="1"/>
      <protection locked="0"/>
    </xf>
    <xf numFmtId="0" fontId="104" fillId="8" borderId="7" xfId="0" applyFont="1" applyFill="1" applyBorder="1" applyAlignment="1">
      <alignment horizontal="center" vertical="center" wrapText="1"/>
    </xf>
    <xf numFmtId="0" fontId="104" fillId="8" borderId="33" xfId="0" applyFont="1" applyFill="1" applyBorder="1" applyAlignment="1">
      <alignment horizontal="center" vertical="center" wrapText="1"/>
    </xf>
    <xf numFmtId="0" fontId="77" fillId="8" borderId="7" xfId="0" applyFont="1" applyFill="1" applyBorder="1" applyAlignment="1">
      <alignment horizontal="left" vertical="center" wrapText="1"/>
    </xf>
    <xf numFmtId="0" fontId="77" fillId="8" borderId="7" xfId="0" applyFont="1" applyFill="1" applyBorder="1" applyAlignment="1">
      <alignment vertical="center" wrapText="1"/>
    </xf>
    <xf numFmtId="0" fontId="77" fillId="8" borderId="20" xfId="0" applyFont="1" applyFill="1" applyBorder="1" applyAlignment="1">
      <alignment vertical="center"/>
    </xf>
    <xf numFmtId="0" fontId="77" fillId="8" borderId="40" xfId="0" applyFont="1" applyFill="1" applyBorder="1" applyAlignment="1">
      <alignment vertical="center"/>
    </xf>
    <xf numFmtId="0" fontId="77" fillId="8" borderId="54" xfId="0" applyFont="1" applyFill="1" applyBorder="1" applyAlignment="1">
      <alignment horizontal="center" vertical="center" wrapText="1"/>
    </xf>
    <xf numFmtId="0" fontId="77" fillId="8" borderId="51" xfId="0" applyFont="1" applyFill="1" applyBorder="1" applyAlignment="1" applyProtection="1">
      <alignment vertical="center"/>
      <protection locked="0"/>
    </xf>
    <xf numFmtId="0" fontId="104" fillId="8" borderId="7" xfId="0" applyFont="1" applyFill="1" applyBorder="1" applyAlignment="1" applyProtection="1">
      <alignment vertical="center" wrapText="1"/>
      <protection locked="0"/>
    </xf>
    <xf numFmtId="0" fontId="104" fillId="8" borderId="7" xfId="0" applyFont="1" applyFill="1" applyBorder="1" applyAlignment="1">
      <alignment horizontal="center" vertical="center"/>
    </xf>
    <xf numFmtId="0" fontId="104" fillId="8" borderId="7" xfId="0" applyFont="1" applyFill="1" applyBorder="1" applyAlignment="1">
      <alignment vertical="center" wrapText="1"/>
    </xf>
    <xf numFmtId="3" fontId="77" fillId="8" borderId="22" xfId="0" applyNumberFormat="1" applyFont="1" applyFill="1" applyBorder="1" applyAlignment="1">
      <alignment horizontal="center" vertical="center"/>
    </xf>
    <xf numFmtId="2" fontId="105" fillId="14" borderId="33" xfId="0" applyNumberFormat="1" applyFont="1" applyFill="1" applyBorder="1" applyAlignment="1">
      <alignment horizontal="center" vertical="center" wrapText="1"/>
    </xf>
    <xf numFmtId="0" fontId="77" fillId="8" borderId="2" xfId="0" applyFont="1" applyFill="1" applyBorder="1" applyAlignment="1">
      <alignment vertical="center"/>
    </xf>
    <xf numFmtId="0" fontId="77" fillId="8" borderId="3" xfId="0" applyFont="1" applyFill="1" applyBorder="1" applyAlignment="1" applyProtection="1">
      <alignment vertical="center"/>
      <protection locked="0"/>
    </xf>
    <xf numFmtId="0" fontId="77" fillId="8" borderId="4" xfId="0" applyFont="1" applyFill="1" applyBorder="1" applyAlignment="1" applyProtection="1">
      <alignment vertical="center"/>
      <protection locked="0"/>
    </xf>
    <xf numFmtId="0" fontId="77" fillId="8" borderId="22" xfId="0" applyFont="1" applyFill="1" applyBorder="1" applyAlignment="1">
      <alignment vertical="center"/>
    </xf>
    <xf numFmtId="2" fontId="108" fillId="11" borderId="33" xfId="0" applyNumberFormat="1" applyFont="1" applyFill="1" applyBorder="1" applyAlignment="1">
      <alignment horizontal="center" vertical="center"/>
    </xf>
    <xf numFmtId="0" fontId="77" fillId="8" borderId="5" xfId="0" applyFont="1" applyFill="1" applyBorder="1" applyAlignment="1">
      <alignment vertical="center"/>
    </xf>
    <xf numFmtId="0" fontId="77" fillId="8" borderId="0" xfId="0" applyFont="1" applyFill="1" applyAlignment="1" applyProtection="1">
      <alignment vertical="center"/>
      <protection locked="0"/>
    </xf>
    <xf numFmtId="0" fontId="77" fillId="8" borderId="6" xfId="0" applyFont="1" applyFill="1" applyBorder="1" applyAlignment="1" applyProtection="1">
      <alignment vertical="center"/>
      <protection locked="0"/>
    </xf>
    <xf numFmtId="0" fontId="77" fillId="8" borderId="64" xfId="0" applyFont="1" applyFill="1" applyBorder="1" applyAlignment="1">
      <alignment vertical="center"/>
    </xf>
    <xf numFmtId="0" fontId="77" fillId="8" borderId="13" xfId="0" applyFont="1" applyFill="1" applyBorder="1" applyAlignment="1">
      <alignment vertical="center"/>
    </xf>
    <xf numFmtId="0" fontId="77" fillId="8" borderId="77" xfId="0" applyFont="1" applyFill="1" applyBorder="1" applyAlignment="1" applyProtection="1">
      <alignment vertical="center"/>
      <protection locked="0"/>
    </xf>
    <xf numFmtId="0" fontId="77" fillId="8" borderId="63" xfId="0" applyFont="1" applyFill="1" applyBorder="1" applyAlignment="1">
      <alignment vertical="center"/>
    </xf>
    <xf numFmtId="2" fontId="108" fillId="11" borderId="28" xfId="0" applyNumberFormat="1" applyFont="1" applyFill="1" applyBorder="1" applyAlignment="1">
      <alignment horizontal="center" vertical="center"/>
    </xf>
    <xf numFmtId="0" fontId="92" fillId="8" borderId="0" xfId="0" applyFont="1" applyFill="1"/>
    <xf numFmtId="0" fontId="104" fillId="8" borderId="7" xfId="0" applyFont="1" applyFill="1" applyBorder="1" applyAlignment="1">
      <alignment horizontal="center"/>
    </xf>
    <xf numFmtId="0" fontId="104" fillId="8" borderId="7" xfId="0" applyFont="1" applyFill="1" applyBorder="1" applyAlignment="1">
      <alignment horizontal="center" wrapText="1"/>
    </xf>
    <xf numFmtId="0" fontId="94" fillId="8" borderId="7" xfId="0" applyFont="1" applyFill="1" applyBorder="1" applyAlignment="1">
      <alignment horizontal="left"/>
    </xf>
    <xf numFmtId="0" fontId="94" fillId="8" borderId="7" xfId="0" applyFont="1" applyFill="1" applyBorder="1" applyAlignment="1">
      <alignment horizontal="center"/>
    </xf>
    <xf numFmtId="0" fontId="77" fillId="8" borderId="7" xfId="0" applyFont="1" applyFill="1" applyBorder="1" applyAlignment="1">
      <alignment horizontal="right" vertical="center" wrapText="1"/>
    </xf>
    <xf numFmtId="37" fontId="77" fillId="10" borderId="7" xfId="1" applyNumberFormat="1" applyFont="1" applyFill="1" applyBorder="1" applyAlignment="1">
      <alignment horizontal="center" vertical="center"/>
    </xf>
    <xf numFmtId="0" fontId="104" fillId="8" borderId="7" xfId="0" applyFont="1" applyFill="1" applyBorder="1" applyAlignment="1">
      <alignment horizontal="left"/>
    </xf>
    <xf numFmtId="3" fontId="109" fillId="10" borderId="7" xfId="0" applyNumberFormat="1" applyFont="1" applyFill="1" applyBorder="1"/>
    <xf numFmtId="167" fontId="109" fillId="10" borderId="7" xfId="2" applyNumberFormat="1" applyFont="1" applyFill="1" applyBorder="1"/>
    <xf numFmtId="3" fontId="109" fillId="10" borderId="7" xfId="0" applyNumberFormat="1" applyFont="1" applyFill="1" applyBorder="1" applyAlignment="1">
      <alignment horizontal="center"/>
    </xf>
    <xf numFmtId="164" fontId="109" fillId="10" borderId="7" xfId="0" applyNumberFormat="1" applyFont="1" applyFill="1" applyBorder="1" applyAlignment="1">
      <alignment horizontal="center"/>
    </xf>
    <xf numFmtId="2" fontId="76" fillId="9" borderId="7" xfId="0" applyNumberFormat="1" applyFont="1" applyFill="1" applyBorder="1" applyAlignment="1">
      <alignment horizontal="center" vertical="center"/>
    </xf>
    <xf numFmtId="178" fontId="109" fillId="10" borderId="7" xfId="0" applyNumberFormat="1" applyFont="1" applyFill="1" applyBorder="1" applyAlignment="1">
      <alignment horizontal="center"/>
    </xf>
    <xf numFmtId="179" fontId="109" fillId="10" borderId="7" xfId="0" applyNumberFormat="1" applyFont="1" applyFill="1" applyBorder="1" applyAlignment="1">
      <alignment horizontal="center"/>
    </xf>
    <xf numFmtId="11" fontId="109" fillId="10" borderId="7" xfId="0" applyNumberFormat="1" applyFont="1" applyFill="1" applyBorder="1" applyAlignment="1">
      <alignment horizontal="center"/>
    </xf>
    <xf numFmtId="181" fontId="109" fillId="10" borderId="7" xfId="0" applyNumberFormat="1" applyFont="1" applyFill="1" applyBorder="1" applyAlignment="1">
      <alignment horizontal="center"/>
    </xf>
    <xf numFmtId="165" fontId="109" fillId="10" borderId="7" xfId="0" applyNumberFormat="1" applyFont="1" applyFill="1" applyBorder="1" applyAlignment="1">
      <alignment horizontal="center"/>
    </xf>
    <xf numFmtId="0" fontId="94" fillId="8" borderId="7" xfId="0" applyFont="1" applyFill="1" applyBorder="1" applyAlignment="1">
      <alignment horizontal="left" wrapText="1"/>
    </xf>
    <xf numFmtId="0" fontId="110" fillId="8" borderId="7" xfId="0" applyFont="1" applyFill="1" applyBorder="1" applyAlignment="1">
      <alignment horizontal="center"/>
    </xf>
    <xf numFmtId="167" fontId="110" fillId="8" borderId="7" xfId="2" applyNumberFormat="1" applyFont="1" applyFill="1" applyBorder="1" applyAlignment="1">
      <alignment horizontal="left"/>
    </xf>
    <xf numFmtId="180" fontId="109" fillId="10" borderId="7" xfId="0" applyNumberFormat="1" applyFont="1" applyFill="1" applyBorder="1" applyAlignment="1">
      <alignment horizontal="center"/>
    </xf>
    <xf numFmtId="164" fontId="109" fillId="10" borderId="7" xfId="0" applyNumberFormat="1" applyFont="1" applyFill="1" applyBorder="1"/>
    <xf numFmtId="11" fontId="111" fillId="10" borderId="7" xfId="0" applyNumberFormat="1" applyFont="1" applyFill="1" applyBorder="1" applyAlignment="1">
      <alignment horizontal="center"/>
    </xf>
    <xf numFmtId="0" fontId="109" fillId="10" borderId="7" xfId="0" applyFont="1" applyFill="1" applyBorder="1" applyAlignment="1">
      <alignment horizontal="center"/>
    </xf>
    <xf numFmtId="177" fontId="109" fillId="10" borderId="7" xfId="0" applyNumberFormat="1" applyFont="1" applyFill="1" applyBorder="1" applyAlignment="1">
      <alignment horizontal="center"/>
    </xf>
    <xf numFmtId="172" fontId="109" fillId="10" borderId="7" xfId="0" applyNumberFormat="1" applyFont="1" applyFill="1" applyBorder="1" applyAlignment="1">
      <alignment horizontal="center"/>
    </xf>
    <xf numFmtId="174" fontId="109" fillId="10" borderId="7" xfId="0" applyNumberFormat="1" applyFont="1" applyFill="1" applyBorder="1" applyAlignment="1">
      <alignment horizontal="center"/>
    </xf>
    <xf numFmtId="0" fontId="109" fillId="8" borderId="7" xfId="0" applyFont="1" applyFill="1" applyBorder="1" applyAlignment="1">
      <alignment horizontal="right"/>
    </xf>
    <xf numFmtId="4" fontId="109" fillId="10" borderId="7" xfId="0" applyNumberFormat="1" applyFont="1" applyFill="1" applyBorder="1"/>
    <xf numFmtId="4" fontId="109" fillId="10" borderId="7" xfId="0" applyNumberFormat="1" applyFont="1" applyFill="1" applyBorder="1" applyAlignment="1">
      <alignment horizontal="center"/>
    </xf>
    <xf numFmtId="0" fontId="74" fillId="8" borderId="0" xfId="0" applyFont="1" applyFill="1" applyAlignment="1">
      <alignment horizontal="left" vertical="center"/>
    </xf>
    <xf numFmtId="0" fontId="77" fillId="8" borderId="7" xfId="0" applyFont="1" applyFill="1" applyBorder="1" applyAlignment="1">
      <alignment horizontal="right" vertical="center"/>
    </xf>
    <xf numFmtId="11" fontId="77" fillId="10" borderId="7" xfId="1" applyNumberFormat="1" applyFont="1" applyFill="1" applyBorder="1" applyAlignment="1">
      <alignment horizontal="center" vertical="center"/>
    </xf>
    <xf numFmtId="37" fontId="77" fillId="8" borderId="54" xfId="0" applyNumberFormat="1" applyFont="1" applyFill="1" applyBorder="1" applyAlignment="1">
      <alignment horizontal="center" vertical="center"/>
    </xf>
    <xf numFmtId="0" fontId="104" fillId="8" borderId="0" xfId="0" applyFont="1" applyFill="1" applyAlignment="1">
      <alignment horizontal="center" vertical="center"/>
    </xf>
    <xf numFmtId="3" fontId="77" fillId="8" borderId="54" xfId="1" applyNumberFormat="1" applyFont="1" applyFill="1" applyBorder="1" applyAlignment="1">
      <alignment vertical="center" wrapText="1"/>
    </xf>
    <xf numFmtId="0" fontId="77" fillId="8" borderId="7" xfId="0" applyFont="1" applyFill="1" applyBorder="1" applyAlignment="1">
      <alignment vertical="center"/>
    </xf>
    <xf numFmtId="170" fontId="77" fillId="10" borderId="7" xfId="0" applyNumberFormat="1" applyFont="1" applyFill="1" applyBorder="1" applyAlignment="1">
      <alignment vertical="center"/>
    </xf>
    <xf numFmtId="11" fontId="77" fillId="10" borderId="7" xfId="0" applyNumberFormat="1" applyFont="1" applyFill="1" applyBorder="1" applyAlignment="1">
      <alignment vertical="center"/>
    </xf>
    <xf numFmtId="2" fontId="77" fillId="10" borderId="7" xfId="1" applyNumberFormat="1" applyFont="1" applyFill="1" applyBorder="1" applyAlignment="1">
      <alignment horizontal="center" vertical="center"/>
    </xf>
    <xf numFmtId="3" fontId="77" fillId="8" borderId="54" xfId="1" applyNumberFormat="1" applyFont="1" applyFill="1" applyBorder="1" applyAlignment="1">
      <alignment horizontal="center" vertical="center"/>
    </xf>
    <xf numFmtId="0" fontId="77" fillId="8" borderId="7" xfId="0" applyFont="1" applyFill="1" applyBorder="1" applyAlignment="1">
      <alignment horizontal="center" vertical="center"/>
    </xf>
    <xf numFmtId="10" fontId="77" fillId="10" borderId="7" xfId="2" applyNumberFormat="1" applyFont="1" applyFill="1" applyBorder="1" applyAlignment="1">
      <alignment horizontal="center" vertical="center"/>
    </xf>
    <xf numFmtId="1" fontId="77" fillId="10" borderId="7" xfId="1" applyNumberFormat="1" applyFont="1" applyFill="1" applyBorder="1" applyAlignment="1">
      <alignment vertical="center"/>
    </xf>
    <xf numFmtId="170" fontId="77" fillId="10" borderId="7" xfId="1" applyNumberFormat="1" applyFont="1" applyFill="1" applyBorder="1" applyAlignment="1">
      <alignment vertical="center"/>
    </xf>
    <xf numFmtId="39" fontId="77" fillId="10" borderId="7" xfId="1" applyNumberFormat="1" applyFont="1" applyFill="1" applyBorder="1" applyAlignment="1">
      <alignment horizontal="center" vertical="center"/>
    </xf>
    <xf numFmtId="0" fontId="77" fillId="8" borderId="7" xfId="0" applyFont="1" applyFill="1" applyBorder="1" applyAlignment="1">
      <alignment horizontal="center" vertical="center" wrapText="1"/>
    </xf>
    <xf numFmtId="166" fontId="77" fillId="10" borderId="7" xfId="1" applyNumberFormat="1" applyFont="1" applyFill="1" applyBorder="1" applyAlignment="1">
      <alignment vertical="center"/>
    </xf>
    <xf numFmtId="2" fontId="77" fillId="10" borderId="7" xfId="0" applyNumberFormat="1" applyFont="1" applyFill="1" applyBorder="1" applyAlignment="1">
      <alignment horizontal="center" vertical="center"/>
    </xf>
    <xf numFmtId="170" fontId="77" fillId="10" borderId="7" xfId="0" applyNumberFormat="1" applyFont="1" applyFill="1" applyBorder="1" applyAlignment="1">
      <alignment horizontal="center" vertical="center"/>
    </xf>
    <xf numFmtId="1" fontId="77" fillId="10" borderId="7" xfId="0" applyNumberFormat="1" applyFont="1" applyFill="1" applyBorder="1" applyAlignment="1">
      <alignment horizontal="center" vertical="center"/>
    </xf>
    <xf numFmtId="170" fontId="76" fillId="9" borderId="7" xfId="0" applyNumberFormat="1" applyFont="1" applyFill="1" applyBorder="1" applyAlignment="1">
      <alignment vertical="center" wrapText="1"/>
    </xf>
    <xf numFmtId="0" fontId="76" fillId="9" borderId="7" xfId="0" applyFont="1" applyFill="1" applyBorder="1" applyAlignment="1">
      <alignment horizontal="right" vertical="center"/>
    </xf>
    <xf numFmtId="170" fontId="76" fillId="9" borderId="7" xfId="0" applyNumberFormat="1" applyFont="1" applyFill="1" applyBorder="1" applyAlignment="1">
      <alignment vertical="center"/>
    </xf>
    <xf numFmtId="0" fontId="112" fillId="8" borderId="0" xfId="3" applyFont="1" applyFill="1" applyAlignment="1">
      <alignment vertical="center"/>
    </xf>
    <xf numFmtId="0" fontId="112" fillId="8" borderId="0" xfId="3" applyFont="1" applyFill="1" applyAlignment="1">
      <alignment vertical="center" wrapText="1"/>
    </xf>
    <xf numFmtId="0" fontId="110" fillId="8" borderId="16" xfId="0" applyFont="1" applyFill="1" applyBorder="1" applyAlignment="1">
      <alignment horizontal="center" vertical="center" wrapText="1"/>
    </xf>
    <xf numFmtId="0" fontId="110" fillId="8" borderId="29" xfId="0" applyFont="1" applyFill="1" applyBorder="1" applyAlignment="1">
      <alignment horizontal="center" vertical="center" wrapText="1"/>
    </xf>
    <xf numFmtId="0" fontId="110" fillId="8" borderId="19" xfId="0" applyFont="1" applyFill="1" applyBorder="1" applyAlignment="1">
      <alignment horizontal="center" vertical="center" wrapText="1"/>
    </xf>
    <xf numFmtId="0" fontId="109" fillId="8" borderId="52" xfId="0" applyFont="1" applyFill="1" applyBorder="1" applyAlignment="1">
      <alignment horizontal="center" vertical="center"/>
    </xf>
    <xf numFmtId="0" fontId="109" fillId="10" borderId="47" xfId="0" applyFont="1" applyFill="1" applyBorder="1" applyAlignment="1">
      <alignment horizontal="center" wrapText="1"/>
    </xf>
    <xf numFmtId="0" fontId="109" fillId="10" borderId="11" xfId="0" applyFont="1" applyFill="1" applyBorder="1" applyAlignment="1">
      <alignment horizontal="center" vertical="center" wrapText="1"/>
    </xf>
    <xf numFmtId="0" fontId="109" fillId="10" borderId="25" xfId="0" applyFont="1" applyFill="1" applyBorder="1" applyAlignment="1">
      <alignment horizontal="center" vertical="center" wrapText="1"/>
    </xf>
    <xf numFmtId="0" fontId="109" fillId="8" borderId="32" xfId="0" applyFont="1" applyFill="1" applyBorder="1" applyAlignment="1">
      <alignment horizontal="center" vertical="center" wrapText="1"/>
    </xf>
    <xf numFmtId="0" fontId="109" fillId="10" borderId="7" xfId="0" applyFont="1" applyFill="1" applyBorder="1" applyAlignment="1">
      <alignment horizontal="center" wrapText="1"/>
    </xf>
    <xf numFmtId="0" fontId="109" fillId="10" borderId="22" xfId="0" applyFont="1" applyFill="1" applyBorder="1" applyAlignment="1">
      <alignment horizontal="center" vertical="center" wrapText="1"/>
    </xf>
    <xf numFmtId="0" fontId="109" fillId="10" borderId="33" xfId="0" applyFont="1" applyFill="1" applyBorder="1" applyAlignment="1">
      <alignment horizontal="center" vertical="center" wrapText="1"/>
    </xf>
    <xf numFmtId="0" fontId="109" fillId="8" borderId="32" xfId="0" applyFont="1" applyFill="1" applyBorder="1" applyAlignment="1">
      <alignment horizontal="center" vertical="center"/>
    </xf>
    <xf numFmtId="2" fontId="109" fillId="10" borderId="22" xfId="0" applyNumberFormat="1" applyFont="1" applyFill="1" applyBorder="1" applyAlignment="1">
      <alignment horizontal="center" vertical="center" wrapText="1"/>
    </xf>
    <xf numFmtId="0" fontId="109" fillId="8" borderId="76" xfId="0" applyFont="1" applyFill="1" applyBorder="1" applyAlignment="1">
      <alignment horizontal="center" vertical="center" wrapText="1"/>
    </xf>
    <xf numFmtId="0" fontId="109" fillId="10" borderId="50" xfId="0" applyFont="1" applyFill="1" applyBorder="1" applyAlignment="1">
      <alignment horizontal="center" wrapText="1"/>
    </xf>
    <xf numFmtId="0" fontId="109" fillId="10" borderId="63" xfId="0" applyFont="1" applyFill="1" applyBorder="1" applyAlignment="1">
      <alignment horizontal="center" vertical="center" wrapText="1"/>
    </xf>
    <xf numFmtId="0" fontId="109" fillId="10" borderId="28" xfId="0" applyFont="1" applyFill="1" applyBorder="1" applyAlignment="1">
      <alignment horizontal="center" vertical="center" wrapText="1"/>
    </xf>
    <xf numFmtId="0" fontId="110" fillId="8" borderId="55" xfId="0" applyFont="1" applyFill="1" applyBorder="1" applyAlignment="1">
      <alignment horizontal="center" vertical="center" wrapText="1"/>
    </xf>
    <xf numFmtId="0" fontId="110" fillId="8" borderId="17" xfId="0" applyFont="1" applyFill="1" applyBorder="1" applyAlignment="1">
      <alignment horizontal="center" vertical="center" wrapText="1"/>
    </xf>
    <xf numFmtId="0" fontId="109" fillId="8" borderId="51" xfId="0" applyFont="1" applyFill="1" applyBorder="1" applyAlignment="1">
      <alignment horizontal="center" vertical="center" wrapText="1"/>
    </xf>
    <xf numFmtId="0" fontId="109" fillId="10" borderId="7" xfId="0" applyFont="1" applyFill="1" applyBorder="1" applyAlignment="1">
      <alignment horizontal="center" vertical="center" wrapText="1"/>
    </xf>
    <xf numFmtId="0" fontId="109" fillId="8" borderId="61" xfId="0" applyFont="1" applyFill="1" applyBorder="1" applyAlignment="1">
      <alignment horizontal="center" vertical="center" wrapText="1"/>
    </xf>
    <xf numFmtId="0" fontId="109" fillId="10" borderId="50" xfId="0" applyFont="1" applyFill="1" applyBorder="1" applyAlignment="1">
      <alignment horizontal="center" vertical="center" wrapText="1"/>
    </xf>
    <xf numFmtId="0" fontId="110" fillId="8" borderId="38" xfId="0" applyFont="1" applyFill="1" applyBorder="1" applyAlignment="1">
      <alignment horizontal="center" vertical="center" wrapText="1"/>
    </xf>
    <xf numFmtId="0" fontId="110" fillId="8" borderId="78" xfId="0" applyFont="1" applyFill="1" applyBorder="1" applyAlignment="1">
      <alignment horizontal="center" vertical="center" wrapText="1"/>
    </xf>
    <xf numFmtId="0" fontId="110" fillId="8" borderId="79" xfId="0" applyFont="1" applyFill="1" applyBorder="1" applyAlignment="1">
      <alignment horizontal="center" vertical="center" wrapText="1"/>
    </xf>
    <xf numFmtId="0" fontId="109" fillId="8" borderId="20" xfId="0" applyFont="1" applyFill="1" applyBorder="1" applyAlignment="1">
      <alignment horizontal="center" vertical="center" wrapText="1"/>
    </xf>
    <xf numFmtId="2" fontId="109" fillId="10" borderId="7" xfId="0" applyNumberFormat="1" applyFont="1" applyFill="1" applyBorder="1" applyAlignment="1">
      <alignment horizontal="center" vertical="center" wrapText="1"/>
    </xf>
    <xf numFmtId="2" fontId="109" fillId="10" borderId="33" xfId="0" applyNumberFormat="1" applyFont="1" applyFill="1" applyBorder="1" applyAlignment="1">
      <alignment horizontal="center" vertical="center" wrapText="1"/>
    </xf>
    <xf numFmtId="0" fontId="109" fillId="8" borderId="35" xfId="0" applyFont="1" applyFill="1" applyBorder="1" applyAlignment="1">
      <alignment horizontal="center" vertical="center" wrapText="1"/>
    </xf>
    <xf numFmtId="2" fontId="109" fillId="10" borderId="50" xfId="0" applyNumberFormat="1" applyFont="1" applyFill="1" applyBorder="1" applyAlignment="1">
      <alignment horizontal="center" vertical="center" wrapText="1"/>
    </xf>
    <xf numFmtId="2" fontId="109" fillId="10" borderId="28" xfId="0" applyNumberFormat="1" applyFont="1" applyFill="1" applyBorder="1" applyAlignment="1">
      <alignment horizontal="center" vertical="center" wrapText="1"/>
    </xf>
    <xf numFmtId="0" fontId="110" fillId="8" borderId="40" xfId="0" applyFont="1" applyFill="1" applyBorder="1" applyAlignment="1">
      <alignment horizontal="center"/>
    </xf>
    <xf numFmtId="0" fontId="110" fillId="8" borderId="54" xfId="0" applyFont="1" applyFill="1" applyBorder="1" applyAlignment="1">
      <alignment horizontal="center"/>
    </xf>
    <xf numFmtId="0" fontId="110" fillId="8" borderId="34" xfId="0" applyFont="1" applyFill="1" applyBorder="1" applyAlignment="1">
      <alignment horizontal="center"/>
    </xf>
    <xf numFmtId="0" fontId="109" fillId="8" borderId="32" xfId="0" applyFont="1" applyFill="1" applyBorder="1" applyAlignment="1">
      <alignment horizontal="left" vertical="center" wrapText="1"/>
    </xf>
    <xf numFmtId="167" fontId="109" fillId="10" borderId="20" xfId="2" applyNumberFormat="1" applyFont="1" applyFill="1" applyBorder="1" applyAlignment="1">
      <alignment horizontal="center" vertical="center"/>
    </xf>
    <xf numFmtId="167" fontId="109" fillId="10" borderId="7" xfId="2" applyNumberFormat="1" applyFont="1" applyFill="1" applyBorder="1" applyAlignment="1">
      <alignment horizontal="center" vertical="center"/>
    </xf>
    <xf numFmtId="167" fontId="109" fillId="10" borderId="33" xfId="2" applyNumberFormat="1" applyFont="1" applyFill="1" applyBorder="1" applyAlignment="1">
      <alignment horizontal="center" vertical="center"/>
    </xf>
    <xf numFmtId="9" fontId="109" fillId="10" borderId="20" xfId="2" applyFont="1" applyFill="1" applyBorder="1" applyAlignment="1">
      <alignment horizontal="center" vertical="center"/>
    </xf>
    <xf numFmtId="9" fontId="109" fillId="10" borderId="7" xfId="2" applyFont="1" applyFill="1" applyBorder="1" applyAlignment="1">
      <alignment horizontal="center" vertical="center"/>
    </xf>
    <xf numFmtId="9" fontId="109" fillId="10" borderId="33" xfId="2" applyFont="1" applyFill="1" applyBorder="1" applyAlignment="1">
      <alignment horizontal="center" vertical="center"/>
    </xf>
    <xf numFmtId="0" fontId="109" fillId="8" borderId="57" xfId="0" applyFont="1" applyFill="1" applyBorder="1" applyAlignment="1">
      <alignment horizontal="left" vertical="center" wrapText="1"/>
    </xf>
    <xf numFmtId="0" fontId="109" fillId="8" borderId="76" xfId="0" applyFont="1" applyFill="1" applyBorder="1" applyAlignment="1">
      <alignment horizontal="left" vertical="center" wrapText="1"/>
    </xf>
    <xf numFmtId="0" fontId="109" fillId="8" borderId="20" xfId="0" applyFont="1" applyFill="1" applyBorder="1" applyAlignment="1">
      <alignment horizontal="left" vertical="center" wrapText="1"/>
    </xf>
    <xf numFmtId="0" fontId="109" fillId="10" borderId="33" xfId="0" applyFont="1" applyFill="1" applyBorder="1" applyAlignment="1">
      <alignment horizontal="center" vertical="center"/>
    </xf>
    <xf numFmtId="0" fontId="109" fillId="8" borderId="35" xfId="0" applyFont="1" applyFill="1" applyBorder="1" applyAlignment="1">
      <alignment horizontal="left" vertical="center" wrapText="1"/>
    </xf>
    <xf numFmtId="0" fontId="116" fillId="10" borderId="28" xfId="0" applyFont="1" applyFill="1" applyBorder="1" applyAlignment="1">
      <alignment horizontal="center" vertical="center" wrapText="1"/>
    </xf>
    <xf numFmtId="0" fontId="109" fillId="8" borderId="32" xfId="0" applyFont="1" applyFill="1" applyBorder="1"/>
    <xf numFmtId="2" fontId="109" fillId="10" borderId="54" xfId="0" applyNumberFormat="1" applyFont="1" applyFill="1" applyBorder="1" applyAlignment="1">
      <alignment horizontal="center"/>
    </xf>
    <xf numFmtId="2" fontId="109" fillId="10" borderId="34" xfId="0" applyNumberFormat="1" applyFont="1" applyFill="1" applyBorder="1" applyAlignment="1">
      <alignment horizontal="center"/>
    </xf>
    <xf numFmtId="0" fontId="110" fillId="8" borderId="32" xfId="0" applyFont="1" applyFill="1" applyBorder="1"/>
    <xf numFmtId="2" fontId="109" fillId="10" borderId="51" xfId="0" applyNumberFormat="1" applyFont="1" applyFill="1" applyBorder="1" applyAlignment="1">
      <alignment horizontal="center"/>
    </xf>
    <xf numFmtId="2" fontId="109" fillId="10" borderId="26" xfId="0" applyNumberFormat="1" applyFont="1" applyFill="1" applyBorder="1" applyAlignment="1">
      <alignment horizontal="center"/>
    </xf>
    <xf numFmtId="0" fontId="109" fillId="8" borderId="32" xfId="0" applyFont="1" applyFill="1" applyBorder="1" applyAlignment="1">
      <alignment horizontal="left" indent="1"/>
    </xf>
    <xf numFmtId="2" fontId="109" fillId="10" borderId="47" xfId="0" applyNumberFormat="1" applyFont="1" applyFill="1" applyBorder="1" applyAlignment="1">
      <alignment horizontal="center"/>
    </xf>
    <xf numFmtId="2" fontId="109" fillId="10" borderId="25" xfId="0" applyNumberFormat="1" applyFont="1" applyFill="1" applyBorder="1" applyAlignment="1">
      <alignment horizontal="center"/>
    </xf>
    <xf numFmtId="2" fontId="109" fillId="10" borderId="7" xfId="0" applyNumberFormat="1" applyFont="1" applyFill="1" applyBorder="1" applyAlignment="1">
      <alignment horizontal="center"/>
    </xf>
    <xf numFmtId="2" fontId="109" fillId="10" borderId="33" xfId="0" applyNumberFormat="1" applyFont="1" applyFill="1" applyBorder="1" applyAlignment="1">
      <alignment horizontal="center"/>
    </xf>
    <xf numFmtId="0" fontId="109" fillId="8" borderId="76" xfId="0" applyFont="1" applyFill="1" applyBorder="1" applyAlignment="1">
      <alignment horizontal="left" indent="1"/>
    </xf>
    <xf numFmtId="2" fontId="109" fillId="10" borderId="50" xfId="0" applyNumberFormat="1" applyFont="1" applyFill="1" applyBorder="1" applyAlignment="1">
      <alignment horizontal="center"/>
    </xf>
    <xf numFmtId="2" fontId="109" fillId="10" borderId="28" xfId="0" applyNumberFormat="1" applyFont="1" applyFill="1" applyBorder="1" applyAlignment="1">
      <alignment horizontal="center"/>
    </xf>
    <xf numFmtId="0" fontId="104" fillId="8" borderId="53" xfId="0" applyFont="1" applyFill="1" applyBorder="1" applyAlignment="1">
      <alignment horizontal="center" vertical="center" wrapText="1"/>
    </xf>
    <xf numFmtId="0" fontId="109" fillId="10" borderId="65" xfId="0" applyFont="1" applyFill="1" applyBorder="1" applyAlignment="1">
      <alignment horizontal="center" vertical="center" wrapText="1"/>
    </xf>
    <xf numFmtId="0" fontId="109" fillId="10" borderId="67" xfId="0" applyFont="1" applyFill="1" applyBorder="1" applyAlignment="1">
      <alignment horizontal="center" vertical="center" wrapText="1"/>
    </xf>
    <xf numFmtId="0" fontId="109" fillId="10" borderId="66" xfId="0" applyFont="1" applyFill="1" applyBorder="1" applyAlignment="1">
      <alignment horizontal="center" vertical="center" wrapText="1"/>
    </xf>
    <xf numFmtId="0" fontId="109" fillId="10" borderId="48" xfId="0" applyFont="1" applyFill="1" applyBorder="1" applyAlignment="1">
      <alignment horizontal="center" vertical="center" wrapText="1"/>
    </xf>
    <xf numFmtId="39" fontId="76" fillId="14" borderId="7" xfId="1" applyNumberFormat="1" applyFont="1" applyFill="1" applyBorder="1" applyAlignment="1">
      <alignment horizontal="center" vertical="center"/>
    </xf>
    <xf numFmtId="0" fontId="73" fillId="15" borderId="1" xfId="0" applyFont="1" applyFill="1" applyBorder="1" applyAlignment="1" applyProtection="1">
      <alignment vertical="center"/>
      <protection locked="0"/>
    </xf>
    <xf numFmtId="0" fontId="74" fillId="15" borderId="0" xfId="0" applyFont="1" applyFill="1" applyAlignment="1">
      <alignment vertical="center"/>
    </xf>
    <xf numFmtId="0" fontId="73" fillId="15" borderId="0" xfId="0" applyFont="1" applyFill="1" applyAlignment="1" applyProtection="1">
      <alignment vertical="center"/>
      <protection locked="0"/>
    </xf>
    <xf numFmtId="0" fontId="75" fillId="15" borderId="0" xfId="0" applyFont="1" applyFill="1" applyAlignment="1" applyProtection="1">
      <alignment vertical="center"/>
      <protection locked="0"/>
    </xf>
    <xf numFmtId="0" fontId="6" fillId="15" borderId="0" xfId="0" applyFont="1" applyFill="1" applyAlignment="1" applyProtection="1">
      <alignment vertical="center"/>
      <protection locked="0"/>
    </xf>
    <xf numFmtId="0" fontId="73" fillId="15" borderId="0" xfId="0" applyFont="1" applyFill="1" applyAlignment="1" applyProtection="1">
      <alignment horizontal="center" vertical="center"/>
      <protection locked="0"/>
    </xf>
    <xf numFmtId="3" fontId="73" fillId="15" borderId="0" xfId="0" applyNumberFormat="1" applyFont="1" applyFill="1" applyAlignment="1" applyProtection="1">
      <alignment horizontal="center" vertical="center"/>
      <protection locked="0"/>
    </xf>
    <xf numFmtId="0" fontId="6" fillId="15" borderId="0" xfId="0" applyFont="1" applyFill="1" applyAlignment="1" applyProtection="1">
      <alignment horizontal="center" vertical="center"/>
      <protection locked="0"/>
    </xf>
    <xf numFmtId="3" fontId="73" fillId="15" borderId="0" xfId="0" applyNumberFormat="1" applyFont="1" applyFill="1" applyAlignment="1">
      <alignment horizontal="center" vertical="center"/>
    </xf>
    <xf numFmtId="164" fontId="73" fillId="15" borderId="0" xfId="0" applyNumberFormat="1" applyFont="1" applyFill="1" applyAlignment="1" applyProtection="1">
      <alignment horizontal="center" vertical="center"/>
      <protection locked="0"/>
    </xf>
    <xf numFmtId="0" fontId="9" fillId="15" borderId="0" xfId="0" applyFont="1" applyFill="1" applyAlignment="1" applyProtection="1">
      <alignment vertical="center"/>
      <protection locked="0"/>
    </xf>
    <xf numFmtId="0" fontId="75" fillId="15" borderId="0" xfId="0" applyFont="1" applyFill="1" applyAlignment="1" applyProtection="1">
      <alignment vertical="center" wrapText="1"/>
      <protection locked="0"/>
    </xf>
    <xf numFmtId="0" fontId="78" fillId="15" borderId="0" xfId="0" applyFont="1" applyFill="1" applyAlignment="1" applyProtection="1">
      <alignment vertical="center" wrapText="1"/>
      <protection locked="0"/>
    </xf>
    <xf numFmtId="165" fontId="73" fillId="15" borderId="0" xfId="0" applyNumberFormat="1" applyFont="1" applyFill="1" applyAlignment="1">
      <alignment horizontal="center" vertical="center"/>
    </xf>
    <xf numFmtId="3" fontId="79" fillId="15" borderId="0" xfId="0" applyNumberFormat="1" applyFont="1" applyFill="1" applyAlignment="1" applyProtection="1">
      <alignment vertical="center"/>
      <protection locked="0"/>
    </xf>
    <xf numFmtId="4" fontId="79" fillId="15" borderId="0" xfId="0" applyNumberFormat="1" applyFont="1" applyFill="1" applyAlignment="1">
      <alignment vertical="center"/>
    </xf>
    <xf numFmtId="3" fontId="79" fillId="15" borderId="0" xfId="0" applyNumberFormat="1" applyFont="1" applyFill="1" applyAlignment="1">
      <alignment vertical="center"/>
    </xf>
    <xf numFmtId="3" fontId="79" fillId="15" borderId="0" xfId="0" applyNumberFormat="1" applyFont="1" applyFill="1" applyAlignment="1">
      <alignment horizontal="center" vertical="center" wrapText="1"/>
    </xf>
    <xf numFmtId="3" fontId="79" fillId="15" borderId="0" xfId="0" applyNumberFormat="1" applyFont="1" applyFill="1" applyAlignment="1" applyProtection="1">
      <alignment horizontal="center" vertical="center"/>
      <protection locked="0"/>
    </xf>
    <xf numFmtId="0" fontId="79" fillId="15" borderId="0" xfId="0" applyFont="1" applyFill="1" applyAlignment="1" applyProtection="1">
      <alignment vertical="center"/>
      <protection locked="0"/>
    </xf>
    <xf numFmtId="0" fontId="73" fillId="15" borderId="0" xfId="0" applyFont="1" applyFill="1" applyAlignment="1">
      <alignment vertical="center"/>
    </xf>
    <xf numFmtId="0" fontId="73" fillId="15" borderId="0" xfId="0" applyFont="1" applyFill="1" applyAlignment="1">
      <alignment horizontal="right" vertical="center"/>
    </xf>
    <xf numFmtId="3" fontId="73" fillId="15" borderId="0" xfId="0" applyNumberFormat="1" applyFont="1" applyFill="1" applyAlignment="1" applyProtection="1">
      <alignment horizontal="right" vertical="center"/>
      <protection locked="0"/>
    </xf>
    <xf numFmtId="3" fontId="73" fillId="15" borderId="0" xfId="0" applyNumberFormat="1" applyFont="1" applyFill="1" applyAlignment="1" applyProtection="1">
      <alignment horizontal="left" vertical="center"/>
      <protection locked="0"/>
    </xf>
    <xf numFmtId="3" fontId="73" fillId="15" borderId="0" xfId="0" applyNumberFormat="1" applyFont="1" applyFill="1" applyAlignment="1" applyProtection="1">
      <alignment vertical="center"/>
      <protection locked="0"/>
    </xf>
    <xf numFmtId="37" fontId="73" fillId="15" borderId="0" xfId="0" applyNumberFormat="1" applyFont="1" applyFill="1" applyAlignment="1" applyProtection="1">
      <alignment horizontal="right" vertical="center"/>
      <protection locked="0"/>
    </xf>
    <xf numFmtId="3" fontId="73" fillId="15" borderId="0" xfId="0" applyNumberFormat="1" applyFont="1" applyFill="1" applyAlignment="1">
      <alignment horizontal="right" vertical="center"/>
    </xf>
    <xf numFmtId="0" fontId="73" fillId="15" borderId="0" xfId="0" applyFont="1" applyFill="1" applyAlignment="1" applyProtection="1">
      <alignment horizontal="right" vertical="center"/>
      <protection locked="0"/>
    </xf>
    <xf numFmtId="0" fontId="73" fillId="15" borderId="0" xfId="0" applyFont="1" applyFill="1" applyAlignment="1" applyProtection="1">
      <alignment horizontal="left" vertical="center" wrapText="1"/>
      <protection locked="0"/>
    </xf>
    <xf numFmtId="37" fontId="73" fillId="15" borderId="0" xfId="0" applyNumberFormat="1" applyFont="1" applyFill="1" applyAlignment="1">
      <alignment horizontal="right" vertical="center"/>
    </xf>
    <xf numFmtId="39" fontId="73" fillId="15" borderId="0" xfId="1" applyNumberFormat="1" applyFont="1" applyFill="1" applyBorder="1" applyAlignment="1" applyProtection="1">
      <alignment horizontal="right" vertical="center"/>
      <protection locked="0"/>
    </xf>
    <xf numFmtId="37" fontId="73" fillId="15" borderId="0" xfId="1" applyNumberFormat="1" applyFont="1" applyFill="1" applyBorder="1" applyAlignment="1" applyProtection="1">
      <alignment vertical="center"/>
      <protection locked="0"/>
    </xf>
    <xf numFmtId="3" fontId="73" fillId="15" borderId="0" xfId="0" applyNumberFormat="1" applyFont="1" applyFill="1" applyAlignment="1">
      <alignment horizontal="left" vertical="center"/>
    </xf>
    <xf numFmtId="3" fontId="73" fillId="15" borderId="0" xfId="0" applyNumberFormat="1" applyFont="1" applyFill="1" applyAlignment="1">
      <alignment horizontal="right" vertical="center" wrapText="1"/>
    </xf>
    <xf numFmtId="0" fontId="73" fillId="15" borderId="0" xfId="0" applyFont="1" applyFill="1" applyAlignment="1" applyProtection="1">
      <alignment horizontal="left" vertical="center"/>
      <protection locked="0"/>
    </xf>
    <xf numFmtId="43" fontId="73" fillId="15" borderId="0" xfId="1" applyFont="1" applyFill="1" applyBorder="1" applyAlignment="1" applyProtection="1">
      <alignment horizontal="center" vertical="center"/>
      <protection locked="0"/>
    </xf>
    <xf numFmtId="43" fontId="73" fillId="15" borderId="0" xfId="1" applyFont="1" applyFill="1" applyBorder="1" applyAlignment="1" applyProtection="1">
      <alignment vertical="center"/>
      <protection locked="0"/>
    </xf>
    <xf numFmtId="37" fontId="73" fillId="15" borderId="0" xfId="0" applyNumberFormat="1" applyFont="1" applyFill="1" applyAlignment="1" applyProtection="1">
      <alignment horizontal="center" vertical="center"/>
      <protection locked="0"/>
    </xf>
    <xf numFmtId="39" fontId="75" fillId="15" borderId="0" xfId="0" applyNumberFormat="1" applyFont="1" applyFill="1" applyAlignment="1" applyProtection="1">
      <alignment horizontal="center" vertical="center" wrapText="1"/>
      <protection locked="0"/>
    </xf>
    <xf numFmtId="43" fontId="73" fillId="15" borderId="0" xfId="1" applyFont="1" applyFill="1" applyBorder="1" applyAlignment="1" applyProtection="1">
      <alignment horizontal="center" vertical="center" wrapText="1"/>
      <protection locked="0"/>
    </xf>
    <xf numFmtId="2" fontId="73" fillId="15" borderId="0" xfId="0" applyNumberFormat="1" applyFont="1" applyFill="1" applyAlignment="1">
      <alignment horizontal="center" vertical="center" wrapText="1"/>
    </xf>
    <xf numFmtId="0" fontId="73" fillId="15" borderId="0" xfId="0" applyFont="1" applyFill="1" applyAlignment="1">
      <alignment vertical="center" wrapText="1"/>
    </xf>
    <xf numFmtId="0" fontId="73" fillId="15" borderId="0" xfId="0" applyFont="1" applyFill="1" applyAlignment="1">
      <alignment horizontal="left" vertical="center" wrapText="1"/>
    </xf>
    <xf numFmtId="0" fontId="73" fillId="15" borderId="0" xfId="0" applyFont="1" applyFill="1" applyAlignment="1" applyProtection="1">
      <alignment vertical="center" wrapText="1"/>
      <protection locked="0"/>
    </xf>
    <xf numFmtId="0" fontId="6" fillId="15" borderId="0" xfId="0" applyFont="1" applyFill="1" applyAlignment="1" applyProtection="1">
      <alignment vertical="center" wrapText="1"/>
      <protection locked="0"/>
    </xf>
    <xf numFmtId="4" fontId="73" fillId="15" borderId="0" xfId="0" applyNumberFormat="1" applyFont="1" applyFill="1" applyAlignment="1">
      <alignment horizontal="center" vertical="center"/>
    </xf>
    <xf numFmtId="0" fontId="80" fillId="15" borderId="0" xfId="0" applyFont="1" applyFill="1" applyAlignment="1">
      <alignment horizontal="center" vertical="center"/>
    </xf>
    <xf numFmtId="4" fontId="81" fillId="15" borderId="0" xfId="0" applyNumberFormat="1" applyFont="1" applyFill="1" applyAlignment="1">
      <alignment horizontal="center" vertical="center"/>
    </xf>
    <xf numFmtId="166" fontId="73" fillId="15" borderId="0" xfId="1" applyNumberFormat="1" applyFont="1" applyFill="1" applyBorder="1" applyAlignment="1" applyProtection="1">
      <alignment vertical="center"/>
      <protection locked="0"/>
    </xf>
    <xf numFmtId="2" fontId="73" fillId="15" borderId="0" xfId="2" applyNumberFormat="1" applyFont="1" applyFill="1" applyBorder="1" applyAlignment="1" applyProtection="1">
      <alignment horizontal="center" vertical="center"/>
    </xf>
    <xf numFmtId="43" fontId="73" fillId="15" borderId="0" xfId="0" applyNumberFormat="1" applyFont="1" applyFill="1" applyAlignment="1" applyProtection="1">
      <alignment vertical="center"/>
      <protection locked="0"/>
    </xf>
    <xf numFmtId="2" fontId="82" fillId="15" borderId="0" xfId="2" applyNumberFormat="1" applyFont="1" applyFill="1" applyBorder="1" applyAlignment="1" applyProtection="1">
      <alignment horizontal="right" vertical="center"/>
    </xf>
    <xf numFmtId="166" fontId="73" fillId="15" borderId="0" xfId="1" applyNumberFormat="1" applyFont="1" applyFill="1" applyBorder="1" applyAlignment="1" applyProtection="1">
      <alignment horizontal="center" vertical="center"/>
      <protection locked="0"/>
    </xf>
    <xf numFmtId="0" fontId="73" fillId="15" borderId="0" xfId="0" applyFont="1" applyFill="1" applyAlignment="1">
      <alignment horizontal="center" vertical="center"/>
    </xf>
    <xf numFmtId="0" fontId="81" fillId="15" borderId="0" xfId="0" applyFont="1" applyFill="1" applyAlignment="1">
      <alignment horizontal="center" vertical="center"/>
    </xf>
    <xf numFmtId="0" fontId="79" fillId="15" borderId="0" xfId="0" applyFont="1" applyFill="1" applyAlignment="1">
      <alignment vertical="center"/>
    </xf>
    <xf numFmtId="166" fontId="73" fillId="15" borderId="0" xfId="0" applyNumberFormat="1" applyFont="1" applyFill="1" applyAlignment="1" applyProtection="1">
      <alignment vertical="center"/>
      <protection locked="0"/>
    </xf>
    <xf numFmtId="10" fontId="73" fillId="15" borderId="0" xfId="2" applyNumberFormat="1" applyFont="1" applyFill="1" applyBorder="1" applyAlignment="1" applyProtection="1">
      <alignment vertical="center"/>
      <protection locked="0"/>
    </xf>
    <xf numFmtId="170" fontId="73" fillId="15" borderId="0" xfId="0" applyNumberFormat="1" applyFont="1" applyFill="1" applyAlignment="1">
      <alignment vertical="center"/>
    </xf>
    <xf numFmtId="166" fontId="73" fillId="15" borderId="0" xfId="0" applyNumberFormat="1" applyFont="1" applyFill="1" applyAlignment="1">
      <alignment vertical="center"/>
    </xf>
    <xf numFmtId="37" fontId="73" fillId="15" borderId="0" xfId="1" applyNumberFormat="1" applyFont="1" applyFill="1" applyBorder="1" applyAlignment="1" applyProtection="1">
      <alignment vertical="center"/>
    </xf>
    <xf numFmtId="4" fontId="73" fillId="15" borderId="0" xfId="0" applyNumberFormat="1" applyFont="1" applyFill="1" applyAlignment="1" applyProtection="1">
      <alignment vertical="center"/>
      <protection locked="0"/>
    </xf>
    <xf numFmtId="166" fontId="73" fillId="15" borderId="0" xfId="1" applyNumberFormat="1" applyFont="1" applyFill="1" applyBorder="1" applyAlignment="1" applyProtection="1">
      <alignment vertical="center"/>
    </xf>
    <xf numFmtId="43" fontId="73" fillId="15" borderId="0" xfId="0" applyNumberFormat="1" applyFont="1" applyFill="1" applyAlignment="1">
      <alignment vertical="center"/>
    </xf>
    <xf numFmtId="1" fontId="73" fillId="15" borderId="0" xfId="0" applyNumberFormat="1" applyFont="1" applyFill="1" applyAlignment="1">
      <alignment vertical="center"/>
    </xf>
    <xf numFmtId="171" fontId="73" fillId="15" borderId="0" xfId="0" applyNumberFormat="1" applyFont="1" applyFill="1" applyAlignment="1">
      <alignment vertical="center"/>
    </xf>
    <xf numFmtId="43" fontId="73" fillId="15" borderId="0" xfId="1" applyFont="1" applyFill="1" applyBorder="1" applyAlignment="1" applyProtection="1">
      <alignment vertical="center"/>
    </xf>
    <xf numFmtId="37" fontId="73" fillId="15" borderId="0" xfId="0" applyNumberFormat="1" applyFont="1" applyFill="1" applyAlignment="1">
      <alignment vertical="center"/>
    </xf>
    <xf numFmtId="0" fontId="6" fillId="3" borderId="9" xfId="0" applyFont="1" applyFill="1" applyBorder="1" applyAlignment="1" applyProtection="1">
      <alignment horizontal="center" vertical="center"/>
      <protection locked="0"/>
    </xf>
    <xf numFmtId="0" fontId="6" fillId="3" borderId="10" xfId="0" applyFont="1" applyFill="1" applyBorder="1" applyAlignment="1" applyProtection="1">
      <alignment horizontal="center" vertical="center"/>
      <protection locked="0"/>
    </xf>
    <xf numFmtId="0" fontId="6" fillId="3" borderId="11" xfId="0" applyFont="1" applyFill="1" applyBorder="1" applyAlignment="1" applyProtection="1">
      <alignment horizontal="center" vertical="center"/>
      <protection locked="0"/>
    </xf>
    <xf numFmtId="0" fontId="8" fillId="3" borderId="5" xfId="0" applyFont="1" applyFill="1" applyBorder="1" applyAlignment="1" applyProtection="1">
      <alignment horizontal="center" vertical="center" wrapText="1"/>
      <protection locked="0"/>
    </xf>
    <xf numFmtId="0" fontId="8" fillId="3" borderId="0" xfId="0" applyFont="1" applyFill="1" applyAlignment="1" applyProtection="1">
      <alignment horizontal="center" vertical="center" wrapText="1"/>
      <protection locked="0"/>
    </xf>
    <xf numFmtId="0" fontId="8" fillId="3" borderId="6" xfId="0" applyFont="1" applyFill="1" applyBorder="1" applyAlignment="1" applyProtection="1">
      <alignment horizontal="center" vertical="center" wrapText="1"/>
      <protection locked="0"/>
    </xf>
    <xf numFmtId="0" fontId="9" fillId="3" borderId="0" xfId="0" applyFont="1" applyFill="1" applyAlignment="1" applyProtection="1">
      <alignment horizontal="left" vertical="top" wrapText="1"/>
      <protection locked="0"/>
    </xf>
    <xf numFmtId="0" fontId="6" fillId="0" borderId="5" xfId="0" applyFont="1" applyBorder="1" applyAlignment="1" applyProtection="1">
      <alignment horizontal="center" vertical="center"/>
      <protection locked="0"/>
    </xf>
    <xf numFmtId="0" fontId="6" fillId="0" borderId="6" xfId="0" applyFont="1" applyBorder="1" applyAlignment="1" applyProtection="1">
      <alignment horizontal="center" vertical="center"/>
      <protection locked="0"/>
    </xf>
    <xf numFmtId="0" fontId="7" fillId="0" borderId="8" xfId="0" applyFont="1" applyBorder="1" applyAlignment="1">
      <alignment horizontal="center" vertical="center"/>
    </xf>
    <xf numFmtId="0" fontId="10" fillId="3" borderId="5" xfId="0" applyFont="1" applyFill="1" applyBorder="1" applyAlignment="1" applyProtection="1">
      <alignment horizontal="center" vertical="center"/>
      <protection locked="0"/>
    </xf>
    <xf numFmtId="0" fontId="10" fillId="3" borderId="6" xfId="0" applyFont="1" applyFill="1" applyBorder="1" applyAlignment="1" applyProtection="1">
      <alignment horizontal="center" vertical="center"/>
      <protection locked="0"/>
    </xf>
    <xf numFmtId="0" fontId="16" fillId="0" borderId="0" xfId="0" applyFont="1" applyAlignment="1">
      <alignment horizontal="left" vertical="center" wrapText="1"/>
    </xf>
    <xf numFmtId="0" fontId="16" fillId="0" borderId="36" xfId="0" applyFont="1" applyBorder="1" applyAlignment="1">
      <alignment horizontal="left" vertical="center" wrapText="1"/>
    </xf>
    <xf numFmtId="0" fontId="16" fillId="0" borderId="13" xfId="0" applyFont="1" applyBorder="1" applyAlignment="1">
      <alignment horizontal="left" vertical="center" wrapText="1"/>
    </xf>
    <xf numFmtId="0" fontId="16" fillId="0" borderId="43" xfId="0" applyFont="1" applyBorder="1" applyAlignment="1">
      <alignment horizontal="left" vertical="center" wrapText="1"/>
    </xf>
    <xf numFmtId="0" fontId="13" fillId="3" borderId="21" xfId="0" applyFont="1" applyFill="1" applyBorder="1" applyAlignment="1">
      <alignment horizontal="center" vertical="center" wrapText="1"/>
    </xf>
    <xf numFmtId="0" fontId="86" fillId="8" borderId="18" xfId="0" applyFont="1" applyFill="1" applyBorder="1" applyAlignment="1">
      <alignment horizontal="center" vertical="center"/>
    </xf>
    <xf numFmtId="0" fontId="86" fillId="8" borderId="31" xfId="0" applyFont="1" applyFill="1" applyBorder="1" applyAlignment="1">
      <alignment horizontal="center" vertical="center"/>
    </xf>
    <xf numFmtId="0" fontId="91" fillId="8" borderId="2" xfId="0" applyFont="1" applyFill="1" applyBorder="1" applyAlignment="1">
      <alignment horizontal="left" vertical="center"/>
    </xf>
    <xf numFmtId="0" fontId="91" fillId="8" borderId="3" xfId="0" applyFont="1" applyFill="1" applyBorder="1" applyAlignment="1">
      <alignment horizontal="left" vertical="center"/>
    </xf>
    <xf numFmtId="0" fontId="91" fillId="8" borderId="41" xfId="0" applyFont="1" applyFill="1" applyBorder="1" applyAlignment="1">
      <alignment horizontal="left" vertical="center"/>
    </xf>
    <xf numFmtId="0" fontId="83" fillId="8" borderId="12" xfId="0" applyFont="1" applyFill="1" applyBorder="1" applyAlignment="1">
      <alignment horizontal="center" vertical="center" wrapText="1"/>
    </xf>
    <xf numFmtId="0" fontId="83" fillId="8" borderId="13" xfId="0" applyFont="1" applyFill="1" applyBorder="1" applyAlignment="1">
      <alignment horizontal="center" vertical="center" wrapText="1"/>
    </xf>
    <xf numFmtId="0" fontId="12" fillId="0" borderId="14" xfId="0" applyFont="1" applyBorder="1" applyAlignment="1">
      <alignment horizontal="center" vertical="center" wrapText="1"/>
    </xf>
    <xf numFmtId="0" fontId="12" fillId="0" borderId="15" xfId="0" applyFont="1" applyBorder="1" applyAlignment="1">
      <alignment horizontal="center" vertical="center" wrapText="1"/>
    </xf>
    <xf numFmtId="0" fontId="85" fillId="8" borderId="17" xfId="0" applyFont="1" applyFill="1" applyBorder="1" applyAlignment="1">
      <alignment horizontal="center" vertical="center"/>
    </xf>
    <xf numFmtId="0" fontId="85" fillId="8" borderId="18" xfId="0" applyFont="1" applyFill="1" applyBorder="1" applyAlignment="1">
      <alignment horizontal="center" vertical="center"/>
    </xf>
    <xf numFmtId="0" fontId="13" fillId="4" borderId="21" xfId="0" applyFont="1" applyFill="1" applyBorder="1" applyAlignment="1">
      <alignment horizontal="left" vertical="center"/>
    </xf>
    <xf numFmtId="0" fontId="13" fillId="3" borderId="21" xfId="0" applyFont="1" applyFill="1" applyBorder="1" applyAlignment="1">
      <alignment horizontal="left" vertical="center" wrapText="1"/>
    </xf>
    <xf numFmtId="0" fontId="117" fillId="8" borderId="0" xfId="0" applyFont="1" applyFill="1" applyAlignment="1">
      <alignment horizontal="center" wrapText="1"/>
    </xf>
    <xf numFmtId="0" fontId="92" fillId="8" borderId="44" xfId="0" applyFont="1" applyFill="1" applyBorder="1" applyAlignment="1" applyProtection="1">
      <alignment horizontal="left" vertical="center" wrapText="1"/>
      <protection locked="0"/>
    </xf>
    <xf numFmtId="0" fontId="92" fillId="8" borderId="14" xfId="0" applyFont="1" applyFill="1" applyBorder="1" applyAlignment="1" applyProtection="1">
      <alignment horizontal="left" vertical="center" wrapText="1"/>
      <protection locked="0"/>
    </xf>
    <xf numFmtId="0" fontId="92" fillId="8" borderId="15" xfId="0" applyFont="1" applyFill="1" applyBorder="1" applyAlignment="1" applyProtection="1">
      <alignment horizontal="left" vertical="center" wrapText="1"/>
      <protection locked="0"/>
    </xf>
    <xf numFmtId="0" fontId="94" fillId="8" borderId="29" xfId="0" applyFont="1" applyFill="1" applyBorder="1" applyAlignment="1">
      <alignment horizontal="center" vertical="center" wrapText="1"/>
    </xf>
    <xf numFmtId="0" fontId="94" fillId="8" borderId="29" xfId="0" applyFont="1" applyFill="1" applyBorder="1" applyAlignment="1">
      <alignment horizontal="center" vertical="center"/>
    </xf>
    <xf numFmtId="0" fontId="94" fillId="8" borderId="19" xfId="0" applyFont="1" applyFill="1" applyBorder="1" applyAlignment="1">
      <alignment horizontal="center" vertical="center"/>
    </xf>
    <xf numFmtId="0" fontId="25" fillId="4" borderId="7" xfId="0" applyFont="1" applyFill="1" applyBorder="1" applyAlignment="1">
      <alignment horizontal="center" vertical="center"/>
    </xf>
    <xf numFmtId="0" fontId="25" fillId="4" borderId="50" xfId="0" applyFont="1" applyFill="1" applyBorder="1" applyAlignment="1">
      <alignment horizontal="center" vertical="center"/>
    </xf>
    <xf numFmtId="2" fontId="25" fillId="4" borderId="33" xfId="0" applyNumberFormat="1" applyFont="1" applyFill="1" applyBorder="1" applyAlignment="1">
      <alignment horizontal="center" vertical="center"/>
    </xf>
    <xf numFmtId="2" fontId="25" fillId="4" borderId="28" xfId="0" applyNumberFormat="1" applyFont="1" applyFill="1" applyBorder="1" applyAlignment="1">
      <alignment horizontal="center" vertical="center"/>
    </xf>
    <xf numFmtId="0" fontId="94" fillId="8" borderId="38" xfId="0" applyFont="1" applyFill="1" applyBorder="1" applyAlignment="1">
      <alignment horizontal="center" vertical="center" wrapText="1"/>
    </xf>
    <xf numFmtId="0" fontId="94" fillId="8" borderId="24" xfId="0" applyFont="1" applyFill="1" applyBorder="1" applyAlignment="1">
      <alignment horizontal="center" vertical="center" wrapText="1"/>
    </xf>
    <xf numFmtId="0" fontId="92" fillId="8" borderId="60" xfId="0" applyFont="1" applyFill="1" applyBorder="1" applyAlignment="1" applyProtection="1">
      <alignment horizontal="center" vertical="center" wrapText="1"/>
      <protection locked="0"/>
    </xf>
    <xf numFmtId="0" fontId="92" fillId="8" borderId="14" xfId="0" applyFont="1" applyFill="1" applyBorder="1" applyAlignment="1" applyProtection="1">
      <alignment horizontal="center" vertical="center" wrapText="1"/>
      <protection locked="0"/>
    </xf>
    <xf numFmtId="0" fontId="92" fillId="8" borderId="15" xfId="0" applyFont="1" applyFill="1" applyBorder="1" applyAlignment="1" applyProtection="1">
      <alignment horizontal="center" vertical="center" wrapText="1"/>
      <protection locked="0"/>
    </xf>
    <xf numFmtId="0" fontId="92" fillId="8" borderId="44" xfId="0" applyFont="1" applyFill="1" applyBorder="1" applyAlignment="1" applyProtection="1">
      <alignment horizontal="center" vertical="center" wrapText="1"/>
      <protection locked="0"/>
    </xf>
    <xf numFmtId="0" fontId="94" fillId="8" borderId="49" xfId="0" applyFont="1" applyFill="1" applyBorder="1" applyAlignment="1">
      <alignment horizontal="center" vertical="center" wrapText="1"/>
    </xf>
    <xf numFmtId="0" fontId="94" fillId="8" borderId="66" xfId="0" applyFont="1" applyFill="1" applyBorder="1" applyAlignment="1">
      <alignment horizontal="center" vertical="center" wrapText="1"/>
    </xf>
    <xf numFmtId="0" fontId="94" fillId="8" borderId="32" xfId="5" applyFont="1" applyFill="1" applyBorder="1" applyAlignment="1">
      <alignment horizontal="left" vertical="center"/>
    </xf>
    <xf numFmtId="0" fontId="94" fillId="8" borderId="21" xfId="5" applyFont="1" applyFill="1" applyBorder="1" applyAlignment="1">
      <alignment horizontal="left" vertical="center"/>
    </xf>
    <xf numFmtId="0" fontId="94" fillId="8" borderId="26" xfId="5" applyFont="1" applyFill="1" applyBorder="1" applyAlignment="1">
      <alignment horizontal="left" vertical="center"/>
    </xf>
    <xf numFmtId="0" fontId="92" fillId="8" borderId="55" xfId="0" applyFont="1" applyFill="1" applyBorder="1" applyAlignment="1">
      <alignment horizontal="left" vertical="center"/>
    </xf>
    <xf numFmtId="0" fontId="92" fillId="8" borderId="18" xfId="0" applyFont="1" applyFill="1" applyBorder="1" applyAlignment="1">
      <alignment horizontal="left" vertical="center"/>
    </xf>
    <xf numFmtId="0" fontId="92" fillId="8" borderId="31" xfId="0" applyFont="1" applyFill="1" applyBorder="1" applyAlignment="1">
      <alignment horizontal="left" vertical="center"/>
    </xf>
    <xf numFmtId="0" fontId="94" fillId="8" borderId="37" xfId="0" applyFont="1" applyFill="1" applyBorder="1" applyAlignment="1">
      <alignment horizontal="left" vertical="center"/>
    </xf>
    <xf numFmtId="0" fontId="94" fillId="8" borderId="0" xfId="0" applyFont="1" applyFill="1" applyAlignment="1">
      <alignment horizontal="left" vertical="center"/>
    </xf>
    <xf numFmtId="0" fontId="94" fillId="8" borderId="36" xfId="0" applyFont="1" applyFill="1" applyBorder="1" applyAlignment="1">
      <alignment horizontal="left" vertical="center"/>
    </xf>
    <xf numFmtId="0" fontId="92" fillId="8" borderId="44" xfId="0" applyFont="1" applyFill="1" applyBorder="1" applyAlignment="1">
      <alignment horizontal="left" vertical="center"/>
    </xf>
    <xf numFmtId="0" fontId="92" fillId="8" borderId="14" xfId="0" applyFont="1" applyFill="1" applyBorder="1" applyAlignment="1">
      <alignment horizontal="left" vertical="center"/>
    </xf>
    <xf numFmtId="0" fontId="92" fillId="8" borderId="15" xfId="0" applyFont="1" applyFill="1" applyBorder="1" applyAlignment="1">
      <alignment horizontal="left" vertical="center"/>
    </xf>
    <xf numFmtId="0" fontId="94" fillId="8" borderId="40" xfId="0" applyFont="1" applyFill="1" applyBorder="1" applyAlignment="1">
      <alignment horizontal="center" vertical="center" wrapText="1"/>
    </xf>
    <xf numFmtId="0" fontId="94" fillId="8" borderId="46" xfId="0" applyFont="1" applyFill="1" applyBorder="1" applyAlignment="1">
      <alignment horizontal="center" vertical="center"/>
    </xf>
    <xf numFmtId="0" fontId="94" fillId="8" borderId="8" xfId="0" applyFont="1" applyFill="1" applyBorder="1" applyAlignment="1">
      <alignment horizontal="center" vertical="center" wrapText="1"/>
    </xf>
    <xf numFmtId="0" fontId="94" fillId="8" borderId="47" xfId="0" applyFont="1" applyFill="1" applyBorder="1" applyAlignment="1">
      <alignment horizontal="center" vertical="center" wrapText="1"/>
    </xf>
    <xf numFmtId="0" fontId="94" fillId="8" borderId="51" xfId="0" applyFont="1" applyFill="1" applyBorder="1" applyAlignment="1">
      <alignment horizontal="center" vertical="center"/>
    </xf>
    <xf numFmtId="0" fontId="94" fillId="8" borderId="21" xfId="0" applyFont="1" applyFill="1" applyBorder="1" applyAlignment="1">
      <alignment horizontal="center" vertical="center"/>
    </xf>
    <xf numFmtId="0" fontId="94" fillId="8" borderId="26" xfId="0" applyFont="1" applyFill="1" applyBorder="1" applyAlignment="1">
      <alignment horizontal="center" vertical="center"/>
    </xf>
    <xf numFmtId="1" fontId="25" fillId="5" borderId="54" xfId="0" applyNumberFormat="1" applyFont="1" applyFill="1" applyBorder="1" applyAlignment="1">
      <alignment horizontal="center"/>
    </xf>
    <xf numFmtId="1" fontId="25" fillId="5" borderId="8" xfId="0" applyNumberFormat="1" applyFont="1" applyFill="1" applyBorder="1" applyAlignment="1">
      <alignment horizontal="center"/>
    </xf>
    <xf numFmtId="1" fontId="25" fillId="5" borderId="47" xfId="0" applyNumberFormat="1" applyFont="1" applyFill="1" applyBorder="1" applyAlignment="1">
      <alignment horizontal="center"/>
    </xf>
    <xf numFmtId="0" fontId="25" fillId="5" borderId="54" xfId="0" applyFont="1" applyFill="1" applyBorder="1" applyAlignment="1">
      <alignment horizontal="center"/>
    </xf>
    <xf numFmtId="0" fontId="25" fillId="5" borderId="8" xfId="0" applyFont="1" applyFill="1" applyBorder="1" applyAlignment="1">
      <alignment horizontal="center"/>
    </xf>
    <xf numFmtId="0" fontId="25" fillId="5" borderId="47" xfId="0" applyFont="1" applyFill="1" applyBorder="1" applyAlignment="1">
      <alignment horizontal="center"/>
    </xf>
    <xf numFmtId="0" fontId="25" fillId="5" borderId="34" xfId="0" applyFont="1" applyFill="1" applyBorder="1" applyAlignment="1">
      <alignment horizontal="center"/>
    </xf>
    <xf numFmtId="0" fontId="25" fillId="5" borderId="23" xfId="0" applyFont="1" applyFill="1" applyBorder="1" applyAlignment="1">
      <alignment horizontal="center"/>
    </xf>
    <xf numFmtId="0" fontId="25" fillId="5" borderId="25" xfId="0" applyFont="1" applyFill="1" applyBorder="1" applyAlignment="1">
      <alignment horizontal="center"/>
    </xf>
    <xf numFmtId="0" fontId="25" fillId="5" borderId="2" xfId="0" applyFont="1" applyFill="1" applyBorder="1" applyAlignment="1">
      <alignment horizontal="center"/>
    </xf>
    <xf numFmtId="0" fontId="25" fillId="5" borderId="5" xfId="0" applyFont="1" applyFill="1" applyBorder="1" applyAlignment="1">
      <alignment horizontal="center"/>
    </xf>
    <xf numFmtId="0" fontId="25" fillId="5" borderId="9" xfId="0" applyFont="1" applyFill="1" applyBorder="1" applyAlignment="1">
      <alignment horizontal="center"/>
    </xf>
    <xf numFmtId="0" fontId="3" fillId="0" borderId="0" xfId="0" applyFont="1" applyAlignment="1" applyProtection="1">
      <alignment horizontal="left" vertical="center"/>
      <protection locked="0"/>
    </xf>
    <xf numFmtId="9" fontId="94" fillId="8" borderId="57" xfId="2" applyFont="1" applyFill="1" applyBorder="1" applyAlignment="1" applyProtection="1">
      <alignment horizontal="center" vertical="center" wrapText="1"/>
      <protection locked="0"/>
    </xf>
    <xf numFmtId="9" fontId="94" fillId="8" borderId="41" xfId="2" applyFont="1" applyFill="1" applyBorder="1" applyAlignment="1" applyProtection="1">
      <alignment horizontal="center" vertical="center" wrapText="1"/>
      <protection locked="0"/>
    </xf>
    <xf numFmtId="9" fontId="94" fillId="8" borderId="52" xfId="2" applyFont="1" applyFill="1" applyBorder="1" applyAlignment="1" applyProtection="1">
      <alignment horizontal="center" vertical="center" wrapText="1"/>
      <protection locked="0"/>
    </xf>
    <xf numFmtId="9" fontId="94" fillId="8" borderId="58" xfId="2" applyFont="1" applyFill="1" applyBorder="1" applyAlignment="1" applyProtection="1">
      <alignment horizontal="center" vertical="center" wrapText="1"/>
      <protection locked="0"/>
    </xf>
    <xf numFmtId="2" fontId="39" fillId="4" borderId="76" xfId="1" applyNumberFormat="1" applyFont="1" applyFill="1" applyBorder="1" applyAlignment="1" applyProtection="1">
      <alignment horizontal="center" vertical="center"/>
    </xf>
    <xf numFmtId="2" fontId="39" fillId="4" borderId="42" xfId="1" applyNumberFormat="1" applyFont="1" applyFill="1" applyBorder="1" applyAlignment="1" applyProtection="1">
      <alignment horizontal="center" vertical="center"/>
    </xf>
    <xf numFmtId="1" fontId="28" fillId="4" borderId="61" xfId="0" applyNumberFormat="1" applyFont="1" applyFill="1" applyBorder="1" applyAlignment="1">
      <alignment horizontal="center" vertical="center" wrapText="1"/>
    </xf>
    <xf numFmtId="1" fontId="28" fillId="4" borderId="63" xfId="0" applyNumberFormat="1" applyFont="1" applyFill="1" applyBorder="1" applyAlignment="1">
      <alignment horizontal="center" vertical="center" wrapText="1"/>
    </xf>
    <xf numFmtId="0" fontId="94" fillId="8" borderId="55" xfId="0" applyFont="1" applyFill="1" applyBorder="1" applyAlignment="1" applyProtection="1">
      <alignment horizontal="center" vertical="center" wrapText="1"/>
      <protection locked="0"/>
    </xf>
    <xf numFmtId="0" fontId="94" fillId="8" borderId="31" xfId="0" applyFont="1" applyFill="1" applyBorder="1" applyAlignment="1" applyProtection="1">
      <alignment horizontal="center" vertical="center" wrapText="1"/>
      <protection locked="0"/>
    </xf>
    <xf numFmtId="0" fontId="95" fillId="9" borderId="9" xfId="0" applyFont="1" applyFill="1" applyBorder="1" applyAlignment="1" applyProtection="1">
      <alignment horizontal="center" vertical="center" wrapText="1"/>
      <protection locked="0"/>
    </xf>
    <xf numFmtId="0" fontId="95" fillId="9" borderId="11" xfId="0" applyFont="1" applyFill="1" applyBorder="1" applyAlignment="1" applyProtection="1">
      <alignment horizontal="center" vertical="center" wrapText="1"/>
      <protection locked="0"/>
    </xf>
    <xf numFmtId="0" fontId="95" fillId="9" borderId="17" xfId="0" applyFont="1" applyFill="1" applyBorder="1" applyAlignment="1" applyProtection="1">
      <alignment horizontal="center" vertical="center" wrapText="1"/>
      <protection locked="0"/>
    </xf>
    <xf numFmtId="0" fontId="95" fillId="9" borderId="30" xfId="0" applyFont="1" applyFill="1" applyBorder="1" applyAlignment="1" applyProtection="1">
      <alignment horizontal="center" vertical="center" wrapText="1"/>
      <protection locked="0"/>
    </xf>
    <xf numFmtId="0" fontId="95" fillId="9" borderId="51" xfId="0" applyFont="1" applyFill="1" applyBorder="1" applyAlignment="1" applyProtection="1">
      <alignment horizontal="center" vertical="center" wrapText="1"/>
      <protection locked="0"/>
    </xf>
    <xf numFmtId="0" fontId="95" fillId="9" borderId="22" xfId="0" applyFont="1" applyFill="1" applyBorder="1" applyAlignment="1" applyProtection="1">
      <alignment horizontal="center" vertical="center" wrapText="1"/>
      <protection locked="0"/>
    </xf>
    <xf numFmtId="0" fontId="29" fillId="0" borderId="14" xfId="0" applyFont="1" applyBorder="1" applyAlignment="1" applyProtection="1">
      <alignment horizontal="center" vertical="center" wrapText="1"/>
      <protection locked="0"/>
    </xf>
    <xf numFmtId="0" fontId="94" fillId="8" borderId="55" xfId="0" applyFont="1" applyFill="1" applyBorder="1" applyAlignment="1" applyProtection="1">
      <alignment horizontal="center" vertical="center"/>
      <protection locked="0"/>
    </xf>
    <xf numFmtId="0" fontId="94" fillId="8" borderId="18" xfId="0" applyFont="1" applyFill="1" applyBorder="1" applyAlignment="1" applyProtection="1">
      <alignment horizontal="center" vertical="center"/>
      <protection locked="0"/>
    </xf>
    <xf numFmtId="0" fontId="94" fillId="8" borderId="31" xfId="0" applyFont="1" applyFill="1" applyBorder="1" applyAlignment="1" applyProtection="1">
      <alignment horizontal="center" vertical="center"/>
      <protection locked="0"/>
    </xf>
    <xf numFmtId="3" fontId="94" fillId="8" borderId="32" xfId="1" applyNumberFormat="1" applyFont="1" applyFill="1" applyBorder="1" applyAlignment="1" applyProtection="1">
      <alignment horizontal="center" vertical="center"/>
    </xf>
    <xf numFmtId="3" fontId="94" fillId="8" borderId="26" xfId="1" applyNumberFormat="1" applyFont="1" applyFill="1" applyBorder="1" applyAlignment="1" applyProtection="1">
      <alignment horizontal="center" vertical="center"/>
    </xf>
    <xf numFmtId="0" fontId="38" fillId="0" borderId="0" xfId="0" applyFont="1" applyAlignment="1" applyProtection="1">
      <alignment horizontal="center" vertical="center"/>
      <protection locked="0"/>
    </xf>
    <xf numFmtId="0" fontId="94" fillId="8" borderId="54" xfId="0" applyFont="1" applyFill="1" applyBorder="1" applyAlignment="1" applyProtection="1">
      <alignment horizontal="center" vertical="center" wrapText="1"/>
      <protection locked="0"/>
    </xf>
    <xf numFmtId="0" fontId="94" fillId="8" borderId="47" xfId="0" applyFont="1" applyFill="1" applyBorder="1" applyAlignment="1" applyProtection="1">
      <alignment horizontal="center" vertical="center" wrapText="1"/>
      <protection locked="0"/>
    </xf>
    <xf numFmtId="0" fontId="28" fillId="4" borderId="2" xfId="0" applyFont="1" applyFill="1" applyBorder="1" applyAlignment="1">
      <alignment horizontal="center" vertical="center" wrapText="1"/>
    </xf>
    <xf numFmtId="0" fontId="28" fillId="4" borderId="4" xfId="0" applyFont="1" applyFill="1" applyBorder="1" applyAlignment="1">
      <alignment horizontal="center" vertical="center" wrapText="1"/>
    </xf>
    <xf numFmtId="0" fontId="28" fillId="4" borderId="9" xfId="0" applyFont="1" applyFill="1" applyBorder="1" applyAlignment="1">
      <alignment horizontal="center" vertical="center" wrapText="1"/>
    </xf>
    <xf numFmtId="0" fontId="28" fillId="4" borderId="11" xfId="0" applyFont="1" applyFill="1" applyBorder="1" applyAlignment="1">
      <alignment horizontal="center" vertical="center" wrapText="1"/>
    </xf>
    <xf numFmtId="0" fontId="94" fillId="8" borderId="5" xfId="0" applyFont="1" applyFill="1" applyBorder="1" applyAlignment="1" applyProtection="1">
      <alignment horizontal="center" vertical="center" wrapText="1"/>
      <protection locked="0"/>
    </xf>
    <xf numFmtId="0" fontId="94" fillId="8" borderId="0" xfId="0" applyFont="1" applyFill="1" applyAlignment="1" applyProtection="1">
      <alignment horizontal="center" vertical="center" wrapText="1"/>
      <protection locked="0"/>
    </xf>
    <xf numFmtId="0" fontId="94" fillId="8" borderId="36" xfId="0" applyFont="1" applyFill="1" applyBorder="1" applyAlignment="1" applyProtection="1">
      <alignment horizontal="center" vertical="center" wrapText="1"/>
      <protection locked="0"/>
    </xf>
    <xf numFmtId="49" fontId="101" fillId="9" borderId="5" xfId="0" applyNumberFormat="1" applyFont="1" applyFill="1" applyBorder="1" applyAlignment="1" applyProtection="1">
      <alignment horizontal="center" vertical="center" wrapText="1"/>
      <protection locked="0"/>
    </xf>
    <xf numFmtId="49" fontId="101" fillId="9" borderId="0" xfId="0" applyNumberFormat="1" applyFont="1" applyFill="1" applyAlignment="1" applyProtection="1">
      <alignment horizontal="center" vertical="center" wrapText="1"/>
      <protection locked="0"/>
    </xf>
    <xf numFmtId="49" fontId="101" fillId="9" borderId="36" xfId="0" applyNumberFormat="1" applyFont="1" applyFill="1" applyBorder="1" applyAlignment="1" applyProtection="1">
      <alignment horizontal="center" vertical="center" wrapText="1"/>
      <protection locked="0"/>
    </xf>
    <xf numFmtId="49" fontId="101" fillId="9" borderId="64" xfId="0" applyNumberFormat="1" applyFont="1" applyFill="1" applyBorder="1" applyAlignment="1" applyProtection="1">
      <alignment horizontal="center" vertical="center" wrapText="1"/>
      <protection locked="0"/>
    </xf>
    <xf numFmtId="49" fontId="101" fillId="9" borderId="13" xfId="0" applyNumberFormat="1" applyFont="1" applyFill="1" applyBorder="1" applyAlignment="1" applyProtection="1">
      <alignment horizontal="center" vertical="center" wrapText="1"/>
      <protection locked="0"/>
    </xf>
    <xf numFmtId="49" fontId="101" fillId="9" borderId="43" xfId="0" applyNumberFormat="1" applyFont="1" applyFill="1" applyBorder="1" applyAlignment="1" applyProtection="1">
      <alignment horizontal="center" vertical="center" wrapText="1"/>
      <protection locked="0"/>
    </xf>
    <xf numFmtId="0" fontId="0" fillId="4" borderId="5" xfId="0" applyFill="1" applyBorder="1" applyAlignment="1">
      <alignment horizontal="left" vertical="center"/>
    </xf>
    <xf numFmtId="0" fontId="0" fillId="4" borderId="0" xfId="0" applyFill="1" applyAlignment="1">
      <alignment horizontal="left" vertical="center"/>
    </xf>
    <xf numFmtId="0" fontId="0" fillId="4" borderId="36" xfId="0" applyFill="1" applyBorder="1" applyAlignment="1">
      <alignment horizontal="left" vertical="center"/>
    </xf>
    <xf numFmtId="0" fontId="44" fillId="4" borderId="64" xfId="0" applyFont="1" applyFill="1" applyBorder="1" applyAlignment="1">
      <alignment horizontal="left" vertical="center" wrapText="1"/>
    </xf>
    <xf numFmtId="0" fontId="44" fillId="4" borderId="13" xfId="0" applyFont="1" applyFill="1" applyBorder="1" applyAlignment="1">
      <alignment horizontal="left" vertical="center" wrapText="1"/>
    </xf>
    <xf numFmtId="0" fontId="44" fillId="4" borderId="43" xfId="0" applyFont="1" applyFill="1" applyBorder="1" applyAlignment="1">
      <alignment horizontal="left" vertical="center" wrapText="1"/>
    </xf>
    <xf numFmtId="0" fontId="101" fillId="9" borderId="7" xfId="0" applyFont="1" applyFill="1" applyBorder="1" applyAlignment="1" applyProtection="1">
      <alignment horizontal="center" vertical="center" wrapText="1"/>
      <protection locked="0"/>
    </xf>
    <xf numFmtId="0" fontId="95" fillId="9" borderId="61" xfId="0" applyFont="1" applyFill="1" applyBorder="1" applyAlignment="1" applyProtection="1">
      <alignment horizontal="center" vertical="center" wrapText="1"/>
      <protection locked="0"/>
    </xf>
    <xf numFmtId="0" fontId="95" fillId="9" borderId="63" xfId="0" applyFont="1" applyFill="1" applyBorder="1" applyAlignment="1" applyProtection="1">
      <alignment horizontal="center" vertical="center" wrapText="1"/>
      <protection locked="0"/>
    </xf>
    <xf numFmtId="0" fontId="119" fillId="8" borderId="0" xfId="0" applyFont="1" applyFill="1" applyAlignment="1" applyProtection="1">
      <alignment horizontal="center" vertical="center" wrapText="1"/>
      <protection locked="0"/>
    </xf>
    <xf numFmtId="0" fontId="104" fillId="8" borderId="40" xfId="0" applyFont="1" applyFill="1" applyBorder="1" applyAlignment="1">
      <alignment horizontal="center" vertical="center"/>
    </xf>
    <xf numFmtId="0" fontId="104" fillId="8" borderId="24" xfId="0" applyFont="1" applyFill="1" applyBorder="1" applyAlignment="1">
      <alignment horizontal="center" vertical="center"/>
    </xf>
    <xf numFmtId="0" fontId="104" fillId="8" borderId="54" xfId="0" applyFont="1" applyFill="1" applyBorder="1" applyAlignment="1">
      <alignment horizontal="left" vertical="center" wrapText="1"/>
    </xf>
    <xf numFmtId="0" fontId="104" fillId="8" borderId="47" xfId="0" applyFont="1" applyFill="1" applyBorder="1" applyAlignment="1">
      <alignment horizontal="left" vertical="center" wrapText="1"/>
    </xf>
    <xf numFmtId="0" fontId="94" fillId="8" borderId="45" xfId="0" applyFont="1" applyFill="1" applyBorder="1" applyAlignment="1">
      <alignment horizontal="left" vertical="center" wrapText="1"/>
    </xf>
    <xf numFmtId="0" fontId="80" fillId="8" borderId="40" xfId="0" applyFont="1" applyFill="1" applyBorder="1" applyAlignment="1" applyProtection="1">
      <alignment horizontal="left" vertical="center" wrapText="1"/>
      <protection locked="0"/>
    </xf>
    <xf numFmtId="0" fontId="80" fillId="8" borderId="27" xfId="0" applyFont="1" applyFill="1" applyBorder="1" applyAlignment="1" applyProtection="1">
      <alignment horizontal="left" vertical="center" wrapText="1"/>
      <protection locked="0"/>
    </xf>
    <xf numFmtId="43" fontId="9" fillId="4" borderId="41" xfId="1" applyFont="1" applyFill="1" applyBorder="1" applyAlignment="1" applyProtection="1">
      <alignment horizontal="center" vertical="center" wrapText="1"/>
      <protection locked="0"/>
    </xf>
    <xf numFmtId="43" fontId="9" fillId="4" borderId="43" xfId="1" applyFont="1" applyFill="1" applyBorder="1" applyAlignment="1" applyProtection="1">
      <alignment horizontal="center" vertical="center" wrapText="1"/>
      <protection locked="0"/>
    </xf>
    <xf numFmtId="9" fontId="77" fillId="8" borderId="41" xfId="2" applyFont="1" applyFill="1" applyBorder="1" applyAlignment="1" applyProtection="1">
      <alignment horizontal="left" vertical="center" wrapText="1"/>
      <protection locked="0"/>
    </xf>
    <xf numFmtId="9" fontId="77" fillId="8" borderId="36" xfId="2" applyFont="1" applyFill="1" applyBorder="1" applyAlignment="1" applyProtection="1">
      <alignment horizontal="left" vertical="center" wrapText="1"/>
      <protection locked="0"/>
    </xf>
    <xf numFmtId="0" fontId="104" fillId="8" borderId="8" xfId="0" applyFont="1" applyFill="1" applyBorder="1" applyAlignment="1">
      <alignment horizontal="left" vertical="center" wrapText="1"/>
    </xf>
    <xf numFmtId="0" fontId="104" fillId="8" borderId="51" xfId="0" applyFont="1" applyFill="1" applyBorder="1" applyAlignment="1">
      <alignment horizontal="center" vertical="center" wrapText="1"/>
    </xf>
    <xf numFmtId="0" fontId="104" fillId="8" borderId="21" xfId="0" applyFont="1" applyFill="1" applyBorder="1" applyAlignment="1">
      <alignment horizontal="center" vertical="center" wrapText="1"/>
    </xf>
    <xf numFmtId="0" fontId="104" fillId="8" borderId="22" xfId="0" applyFont="1" applyFill="1" applyBorder="1" applyAlignment="1">
      <alignment horizontal="center" vertical="center" wrapText="1"/>
    </xf>
    <xf numFmtId="0" fontId="80" fillId="8" borderId="24" xfId="0" applyFont="1" applyFill="1" applyBorder="1" applyAlignment="1" applyProtection="1">
      <alignment horizontal="left" vertical="center" wrapText="1"/>
      <protection locked="0"/>
    </xf>
    <xf numFmtId="0" fontId="94" fillId="8" borderId="18" xfId="0" applyFont="1" applyFill="1" applyBorder="1" applyAlignment="1" applyProtection="1">
      <alignment horizontal="center" vertical="center" wrapText="1"/>
      <protection locked="0"/>
    </xf>
    <xf numFmtId="0" fontId="106" fillId="9" borderId="41" xfId="0" applyFont="1" applyFill="1" applyBorder="1" applyAlignment="1" applyProtection="1">
      <alignment horizontal="center" vertical="center" wrapText="1"/>
      <protection locked="0"/>
    </xf>
    <xf numFmtId="0" fontId="106" fillId="9" borderId="58" xfId="0" applyFont="1" applyFill="1" applyBorder="1" applyAlignment="1" applyProtection="1">
      <alignment horizontal="center" vertical="center" wrapText="1"/>
      <protection locked="0"/>
    </xf>
    <xf numFmtId="9" fontId="77" fillId="8" borderId="36" xfId="2" applyFont="1" applyFill="1" applyBorder="1" applyAlignment="1" applyProtection="1">
      <alignment horizontal="left" vertical="top" wrapText="1"/>
      <protection locked="0"/>
    </xf>
    <xf numFmtId="0" fontId="104" fillId="8" borderId="54" xfId="0" applyFont="1" applyFill="1" applyBorder="1" applyAlignment="1">
      <alignment horizontal="center" vertical="center" wrapText="1"/>
    </xf>
    <xf numFmtId="0" fontId="104" fillId="8" borderId="47" xfId="0" applyFont="1" applyFill="1" applyBorder="1" applyAlignment="1">
      <alignment horizontal="center" vertical="center" wrapText="1"/>
    </xf>
    <xf numFmtId="10" fontId="39" fillId="4" borderId="32" xfId="0" applyNumberFormat="1" applyFont="1" applyFill="1" applyBorder="1" applyAlignment="1">
      <alignment horizontal="center" vertical="center" wrapText="1"/>
    </xf>
    <xf numFmtId="10" fontId="39" fillId="4" borderId="26" xfId="0" applyNumberFormat="1" applyFont="1" applyFill="1" applyBorder="1" applyAlignment="1">
      <alignment horizontal="center" vertical="center" wrapText="1"/>
    </xf>
    <xf numFmtId="0" fontId="104" fillId="8" borderId="46" xfId="0" applyFont="1" applyFill="1" applyBorder="1" applyAlignment="1">
      <alignment horizontal="center" vertical="center"/>
    </xf>
    <xf numFmtId="0" fontId="104" fillId="8" borderId="37" xfId="0" applyFont="1" applyFill="1" applyBorder="1" applyAlignment="1">
      <alignment horizontal="center" vertical="center"/>
    </xf>
    <xf numFmtId="0" fontId="104" fillId="8" borderId="12" xfId="0" applyFont="1" applyFill="1" applyBorder="1" applyAlignment="1">
      <alignment horizontal="center" vertical="center"/>
    </xf>
    <xf numFmtId="0" fontId="77" fillId="8" borderId="51" xfId="0" applyFont="1" applyFill="1" applyBorder="1" applyAlignment="1">
      <alignment horizontal="left" vertical="center" wrapText="1"/>
    </xf>
    <xf numFmtId="0" fontId="77" fillId="8" borderId="22" xfId="0" applyFont="1" applyFill="1" applyBorder="1" applyAlignment="1">
      <alignment horizontal="left" vertical="center" wrapText="1"/>
    </xf>
    <xf numFmtId="0" fontId="104" fillId="8" borderId="2" xfId="0" applyFont="1" applyFill="1" applyBorder="1" applyAlignment="1">
      <alignment horizontal="left" vertical="center" wrapText="1"/>
    </xf>
    <xf numFmtId="0" fontId="104" fillId="8" borderId="9" xfId="0" applyFont="1" applyFill="1" applyBorder="1" applyAlignment="1">
      <alignment horizontal="left" vertical="center" wrapText="1"/>
    </xf>
    <xf numFmtId="0" fontId="77" fillId="8" borderId="2" xfId="0" applyFont="1" applyFill="1" applyBorder="1" applyAlignment="1">
      <alignment horizontal="right" vertical="center" wrapText="1"/>
    </xf>
    <xf numFmtId="0" fontId="77" fillId="8" borderId="4" xfId="0" applyFont="1" applyFill="1" applyBorder="1" applyAlignment="1">
      <alignment horizontal="right" vertical="center" wrapText="1"/>
    </xf>
    <xf numFmtId="0" fontId="77" fillId="8" borderId="9" xfId="0" applyFont="1" applyFill="1" applyBorder="1" applyAlignment="1">
      <alignment horizontal="right" vertical="center" wrapText="1"/>
    </xf>
    <xf numFmtId="0" fontId="77" fillId="8" borderId="11" xfId="0" applyFont="1" applyFill="1" applyBorder="1" applyAlignment="1">
      <alignment horizontal="right" vertical="center" wrapText="1"/>
    </xf>
    <xf numFmtId="0" fontId="104" fillId="8" borderId="2" xfId="0" applyFont="1" applyFill="1" applyBorder="1" applyAlignment="1">
      <alignment horizontal="right" vertical="center" wrapText="1"/>
    </xf>
    <xf numFmtId="0" fontId="104" fillId="8" borderId="3" xfId="0" applyFont="1" applyFill="1" applyBorder="1" applyAlignment="1">
      <alignment horizontal="right" vertical="center" wrapText="1"/>
    </xf>
    <xf numFmtId="0" fontId="104" fillId="8" borderId="4" xfId="0" applyFont="1" applyFill="1" applyBorder="1" applyAlignment="1">
      <alignment horizontal="right" vertical="center" wrapText="1"/>
    </xf>
    <xf numFmtId="0" fontId="109" fillId="8" borderId="52" xfId="0" applyFont="1" applyFill="1" applyBorder="1" applyAlignment="1">
      <alignment horizontal="left" vertical="center" wrapText="1"/>
    </xf>
    <xf numFmtId="0" fontId="109" fillId="8" borderId="10" xfId="0" applyFont="1" applyFill="1" applyBorder="1" applyAlignment="1">
      <alignment horizontal="left" vertical="center" wrapText="1"/>
    </xf>
    <xf numFmtId="0" fontId="109" fillId="8" borderId="58" xfId="0" applyFont="1" applyFill="1" applyBorder="1" applyAlignment="1">
      <alignment horizontal="left" vertical="center" wrapText="1"/>
    </xf>
    <xf numFmtId="0" fontId="109" fillId="8" borderId="0" xfId="0" applyFont="1" applyFill="1" applyAlignment="1">
      <alignment horizontal="left" vertical="center" wrapText="1"/>
    </xf>
    <xf numFmtId="0" fontId="109" fillId="8" borderId="32" xfId="0" applyFont="1" applyFill="1" applyBorder="1" applyAlignment="1">
      <alignment horizontal="left" vertical="center" wrapText="1"/>
    </xf>
    <xf numFmtId="0" fontId="109" fillId="8" borderId="21" xfId="0" applyFont="1" applyFill="1" applyBorder="1" applyAlignment="1">
      <alignment horizontal="left" vertical="center" wrapText="1"/>
    </xf>
    <xf numFmtId="0" fontId="109" fillId="8" borderId="26" xfId="0" applyFont="1" applyFill="1" applyBorder="1" applyAlignment="1">
      <alignment horizontal="left" vertical="center" wrapText="1"/>
    </xf>
    <xf numFmtId="0" fontId="109" fillId="8" borderId="13" xfId="0" applyFont="1" applyFill="1" applyBorder="1" applyAlignment="1">
      <alignment horizontal="left" vertical="center" wrapText="1"/>
    </xf>
    <xf numFmtId="0" fontId="109" fillId="8" borderId="43" xfId="0" applyFont="1" applyFill="1" applyBorder="1" applyAlignment="1">
      <alignment horizontal="left" vertical="center" wrapText="1"/>
    </xf>
    <xf numFmtId="172" fontId="109" fillId="10" borderId="32" xfId="7" applyNumberFormat="1" applyFont="1" applyFill="1" applyBorder="1" applyAlignment="1">
      <alignment horizontal="center" vertical="center"/>
    </xf>
    <xf numFmtId="172" fontId="109" fillId="10" borderId="21" xfId="7" applyNumberFormat="1" applyFont="1" applyFill="1" applyBorder="1" applyAlignment="1">
      <alignment horizontal="center" vertical="center"/>
    </xf>
    <xf numFmtId="172" fontId="109" fillId="10" borderId="26" xfId="7" applyNumberFormat="1" applyFont="1" applyFill="1" applyBorder="1" applyAlignment="1">
      <alignment horizontal="center" vertical="center"/>
    </xf>
    <xf numFmtId="0" fontId="109" fillId="8" borderId="40" xfId="0" applyFont="1" applyFill="1" applyBorder="1" applyAlignment="1">
      <alignment horizontal="center" vertical="center" wrapText="1"/>
    </xf>
    <xf numFmtId="0" fontId="109" fillId="8" borderId="24" xfId="0" applyFont="1" applyFill="1" applyBorder="1" applyAlignment="1">
      <alignment horizontal="center" vertical="center" wrapText="1"/>
    </xf>
    <xf numFmtId="0" fontId="110" fillId="8" borderId="57" xfId="0" applyFont="1" applyFill="1" applyBorder="1" applyAlignment="1">
      <alignment horizontal="center" vertical="center"/>
    </xf>
    <xf numFmtId="0" fontId="110" fillId="8" borderId="37" xfId="0" applyFont="1" applyFill="1" applyBorder="1" applyAlignment="1">
      <alignment horizontal="center" vertical="center"/>
    </xf>
    <xf numFmtId="0" fontId="110" fillId="8" borderId="52" xfId="0" applyFont="1" applyFill="1" applyBorder="1" applyAlignment="1">
      <alignment horizontal="center" vertical="center"/>
    </xf>
    <xf numFmtId="0" fontId="110" fillId="8" borderId="44" xfId="0" applyFont="1" applyFill="1" applyBorder="1" applyAlignment="1">
      <alignment horizontal="center"/>
    </xf>
    <xf numFmtId="0" fontId="110" fillId="8" borderId="14" xfId="0" applyFont="1" applyFill="1" applyBorder="1" applyAlignment="1">
      <alignment horizontal="center"/>
    </xf>
    <xf numFmtId="0" fontId="110" fillId="8" borderId="15" xfId="0" applyFont="1" applyFill="1" applyBorder="1" applyAlignment="1">
      <alignment horizontal="center"/>
    </xf>
    <xf numFmtId="0" fontId="110" fillId="8" borderId="22" xfId="0" applyFont="1" applyFill="1" applyBorder="1" applyAlignment="1">
      <alignment horizontal="center" vertical="center"/>
    </xf>
    <xf numFmtId="0" fontId="110" fillId="8" borderId="7" xfId="0" applyFont="1" applyFill="1" applyBorder="1" applyAlignment="1">
      <alignment horizontal="center" vertical="center"/>
    </xf>
    <xf numFmtId="0" fontId="110" fillId="8" borderId="33" xfId="0" applyFont="1" applyFill="1" applyBorder="1" applyAlignment="1">
      <alignment horizontal="center" vertical="center"/>
    </xf>
    <xf numFmtId="0" fontId="110" fillId="8" borderId="81" xfId="0" applyFont="1" applyFill="1" applyBorder="1" applyAlignment="1">
      <alignment horizontal="center"/>
    </xf>
    <xf numFmtId="0" fontId="110" fillId="8" borderId="1" xfId="0" applyFont="1" applyFill="1" applyBorder="1" applyAlignment="1">
      <alignment horizontal="center"/>
    </xf>
    <xf numFmtId="0" fontId="110" fillId="8" borderId="39" xfId="0" applyFont="1" applyFill="1" applyBorder="1" applyAlignment="1">
      <alignment horizontal="center"/>
    </xf>
    <xf numFmtId="0" fontId="110" fillId="8" borderId="16" xfId="0" applyFont="1" applyFill="1" applyBorder="1" applyAlignment="1">
      <alignment horizontal="center"/>
    </xf>
    <xf numFmtId="0" fontId="110" fillId="8" borderId="29" xfId="0" applyFont="1" applyFill="1" applyBorder="1" applyAlignment="1">
      <alignment horizontal="center"/>
    </xf>
    <xf numFmtId="0" fontId="110" fillId="8" borderId="19" xfId="0" applyFont="1" applyFill="1" applyBorder="1" applyAlignment="1">
      <alignment horizontal="center"/>
    </xf>
    <xf numFmtId="0" fontId="77" fillId="8" borderId="3" xfId="0" applyFont="1" applyFill="1" applyBorder="1" applyAlignment="1">
      <alignment horizontal="right" vertical="center" wrapText="1"/>
    </xf>
    <xf numFmtId="0" fontId="94" fillId="8" borderId="0" xfId="0" applyFont="1" applyFill="1" applyAlignment="1">
      <alignment horizontal="left" wrapText="1"/>
    </xf>
    <xf numFmtId="0" fontId="94" fillId="8" borderId="10" xfId="0" applyFont="1" applyFill="1" applyBorder="1" applyAlignment="1">
      <alignment horizontal="left" wrapText="1"/>
    </xf>
    <xf numFmtId="0" fontId="74" fillId="8" borderId="0" xfId="0" applyFont="1" applyFill="1" applyAlignment="1">
      <alignment horizontal="center" vertical="center"/>
    </xf>
    <xf numFmtId="0" fontId="77" fillId="8" borderId="54" xfId="0" applyFont="1" applyFill="1" applyBorder="1" applyAlignment="1">
      <alignment horizontal="center" vertical="center"/>
    </xf>
    <xf numFmtId="0" fontId="77" fillId="8" borderId="8" xfId="0" applyFont="1" applyFill="1" applyBorder="1" applyAlignment="1">
      <alignment horizontal="center" vertical="center"/>
    </xf>
    <xf numFmtId="0" fontId="77" fillId="8" borderId="54" xfId="0" applyFont="1" applyFill="1" applyBorder="1" applyAlignment="1">
      <alignment horizontal="center" vertical="center" wrapText="1"/>
    </xf>
    <xf numFmtId="0" fontId="77" fillId="8" borderId="8" xfId="0" applyFont="1" applyFill="1" applyBorder="1" applyAlignment="1">
      <alignment horizontal="center" vertical="center" wrapText="1"/>
    </xf>
    <xf numFmtId="0" fontId="77" fillId="8" borderId="47" xfId="0" applyFont="1" applyFill="1" applyBorder="1" applyAlignment="1">
      <alignment horizontal="center" vertical="center" wrapText="1"/>
    </xf>
    <xf numFmtId="3" fontId="77" fillId="8" borderId="54" xfId="1" applyNumberFormat="1" applyFont="1" applyFill="1" applyBorder="1" applyAlignment="1">
      <alignment horizontal="center" vertical="center"/>
    </xf>
    <xf numFmtId="3" fontId="77" fillId="8" borderId="47" xfId="1" applyNumberFormat="1" applyFont="1" applyFill="1" applyBorder="1" applyAlignment="1">
      <alignment horizontal="center" vertical="center"/>
    </xf>
  </cellXfs>
  <cellStyles count="10">
    <cellStyle name="Accent3 3" xfId="5" xr:uid="{D03C5D15-FEEE-4C8A-AFFD-6FE3F76F2E0A}"/>
    <cellStyle name="Comma" xfId="1" builtinId="3"/>
    <cellStyle name="Comma 2" xfId="9" xr:uid="{B86B4FDE-E073-4637-A0E3-4D0FED21BCAC}"/>
    <cellStyle name="Explanatory Text 2" xfId="6" xr:uid="{8EDE7EC3-4D3B-4024-AC41-C1FF6BA1A932}"/>
    <cellStyle name="Hyperlink" xfId="3" builtinId="8"/>
    <cellStyle name="Normal" xfId="0" builtinId="0"/>
    <cellStyle name="Normal 2" xfId="8" xr:uid="{71997B22-1D9D-4904-92C1-7606A930315E}"/>
    <cellStyle name="Output 11 2 2" xfId="4" xr:uid="{64E4887A-1830-4FB2-B757-3A532BF492B9}"/>
    <cellStyle name="Percent" xfId="2" builtinId="5"/>
    <cellStyle name="Percent 2" xfId="7" xr:uid="{2780F675-BA4B-4D7E-843C-09CFF9D92C10}"/>
  </cellStyles>
  <dxfs count="1">
    <dxf>
      <font>
        <color theme="0"/>
      </font>
      <fill>
        <patternFill>
          <bgColor theme="0"/>
        </patternFill>
      </fill>
    </dxf>
  </dxfs>
  <tableStyles count="1" defaultTableStyle="TableStyleMedium2" defaultPivotStyle="PivotStyleLight16">
    <tableStyle name="Invisible" pivot="0" table="0" count="0" xr9:uid="{46D686A6-7D35-432B-9886-80F0077A61E6}"/>
  </tableStyles>
  <colors>
    <mruColors>
      <color rgb="FFFFD800"/>
      <color rgb="FF026773"/>
      <color rgb="FF1B8ABF"/>
      <color rgb="FFC0032C"/>
      <color rgb="FFC10F2D"/>
      <color rgb="FFFF00FF"/>
      <color rgb="FFDFDFE1"/>
      <color rgb="FFB5E0E1"/>
      <color rgb="FFFFFFCC"/>
      <color rgb="FFB5E0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5" Type="http://schemas.microsoft.com/office/2006/relationships/vbaProject" Target="vbaProject.bin"/><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198120</xdr:colOff>
      <xdr:row>1</xdr:row>
      <xdr:rowOff>174069</xdr:rowOff>
    </xdr:from>
    <xdr:to>
      <xdr:col>5</xdr:col>
      <xdr:colOff>1819276</xdr:colOff>
      <xdr:row>2</xdr:row>
      <xdr:rowOff>78819</xdr:rowOff>
    </xdr:to>
    <xdr:pic>
      <xdr:nvPicPr>
        <xdr:cNvPr id="4" name="Picture 3">
          <a:extLst>
            <a:ext uri="{FF2B5EF4-FFF2-40B4-BE49-F238E27FC236}">
              <a16:creationId xmlns:a16="http://schemas.microsoft.com/office/drawing/2014/main" id="{C8664F5C-0164-440F-BA81-42E32FA57E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7303770" y="421719"/>
          <a:ext cx="2545082" cy="1143000"/>
        </a:xfrm>
        <a:prstGeom prst="rect">
          <a:avLst/>
        </a:prstGeom>
      </xdr:spPr>
    </xdr:pic>
    <xdr:clientData/>
  </xdr:twoCellAnchor>
  <xdr:oneCellAnchor>
    <xdr:from>
      <xdr:col>6</xdr:col>
      <xdr:colOff>589190</xdr:colOff>
      <xdr:row>1</xdr:row>
      <xdr:rowOff>13607</xdr:rowOff>
    </xdr:from>
    <xdr:ext cx="4181475" cy="843821"/>
    <xdr:sp macro="" textlink="">
      <xdr:nvSpPr>
        <xdr:cNvPr id="6" name="TextBox 5">
          <a:extLst>
            <a:ext uri="{FF2B5EF4-FFF2-40B4-BE49-F238E27FC236}">
              <a16:creationId xmlns:a16="http://schemas.microsoft.com/office/drawing/2014/main" id="{E939FC17-6486-4722-8618-64D1A4DB54FF}"/>
            </a:ext>
          </a:extLst>
        </xdr:cNvPr>
        <xdr:cNvSpPr txBox="1"/>
      </xdr:nvSpPr>
      <xdr:spPr>
        <a:xfrm>
          <a:off x="11800115" y="261257"/>
          <a:ext cx="4181475" cy="843821"/>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This worksheet provides an overview of the Tier 1 CI Calculator for Dairy and Swine Manure Biomethane, including required worksheets, general data-entry instructions, and key notes for using the calculator.</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1010909</xdr:colOff>
      <xdr:row>0</xdr:row>
      <xdr:rowOff>352474</xdr:rowOff>
    </xdr:to>
    <xdr:pic>
      <xdr:nvPicPr>
        <xdr:cNvPr id="2" name="Picture 1">
          <a:extLst>
            <a:ext uri="{FF2B5EF4-FFF2-40B4-BE49-F238E27FC236}">
              <a16:creationId xmlns:a16="http://schemas.microsoft.com/office/drawing/2014/main" id="{E8BBEEBD-1BA2-F04B-2352-A4A9DB12E079}"/>
            </a:ext>
          </a:extLst>
        </xdr:cNvPr>
        <xdr:cNvPicPr>
          <a:picLocks noChangeAspect="1"/>
        </xdr:cNvPicPr>
      </xdr:nvPicPr>
      <xdr:blipFill>
        <a:blip xmlns:r="http://schemas.openxmlformats.org/officeDocument/2006/relationships" r:embed="rId1"/>
        <a:stretch>
          <a:fillRect/>
        </a:stretch>
      </xdr:blipFill>
      <xdr:spPr>
        <a:xfrm>
          <a:off x="0" y="0"/>
          <a:ext cx="5277587" cy="352474"/>
        </a:xfrm>
        <a:prstGeom prst="rect">
          <a:avLst/>
        </a:prstGeom>
      </xdr:spPr>
    </xdr:pic>
    <xdr:clientData/>
  </xdr:twoCellAnchor>
  <xdr:oneCellAnchor>
    <xdr:from>
      <xdr:col>2</xdr:col>
      <xdr:colOff>0</xdr:colOff>
      <xdr:row>0</xdr:row>
      <xdr:rowOff>0</xdr:rowOff>
    </xdr:from>
    <xdr:ext cx="7724384" cy="468077"/>
    <xdr:sp macro="" textlink="">
      <xdr:nvSpPr>
        <xdr:cNvPr id="4" name="TextBox 3">
          <a:extLst>
            <a:ext uri="{FF2B5EF4-FFF2-40B4-BE49-F238E27FC236}">
              <a16:creationId xmlns:a16="http://schemas.microsoft.com/office/drawing/2014/main" id="{002423B7-E8E9-4F74-9217-91A3FA5432AD}"/>
            </a:ext>
          </a:extLst>
        </xdr:cNvPr>
        <xdr:cNvSpPr txBox="1"/>
      </xdr:nvSpPr>
      <xdr:spPr>
        <a:xfrm>
          <a:off x="6328253" y="0"/>
          <a:ext cx="7724384" cy="468077"/>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200"/>
            <a:t>Use this worksheet to review the pathway summary, key user inputs, calculated CI results, conservative margin of safety, and any NMED pathway-specific operating conditions.</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684892</xdr:colOff>
      <xdr:row>128</xdr:row>
      <xdr:rowOff>49892</xdr:rowOff>
    </xdr:from>
    <xdr:to>
      <xdr:col>1</xdr:col>
      <xdr:colOff>2372178</xdr:colOff>
      <xdr:row>128</xdr:row>
      <xdr:rowOff>585106</xdr:rowOff>
    </xdr:to>
    <xdr:sp macro="[0]!Calculate_Click" textlink="">
      <xdr:nvSpPr>
        <xdr:cNvPr id="4" name="Rectangle: Rounded Corners 3">
          <a:extLst>
            <a:ext uri="{FF2B5EF4-FFF2-40B4-BE49-F238E27FC236}">
              <a16:creationId xmlns:a16="http://schemas.microsoft.com/office/drawing/2014/main" id="{C22622D1-E118-4ABD-865E-57ABAB8554F8}"/>
            </a:ext>
          </a:extLst>
        </xdr:cNvPr>
        <xdr:cNvSpPr/>
      </xdr:nvSpPr>
      <xdr:spPr>
        <a:xfrm>
          <a:off x="984249" y="27903713"/>
          <a:ext cx="1687286" cy="535214"/>
        </a:xfrm>
        <a:prstGeom prst="roundRect">
          <a:avLst/>
        </a:prstGeom>
        <a:solidFill>
          <a:schemeClr val="accent6">
            <a:lumMod val="60000"/>
            <a:lumOff val="40000"/>
          </a:schemeClr>
        </a:solidFill>
        <a:ln w="12700">
          <a:solidFill>
            <a:schemeClr val="tx1"/>
          </a:solidFill>
        </a:ln>
        <a:scene3d>
          <a:camera prst="orthographicFront"/>
          <a:lightRig rig="threePt" dir="t"/>
        </a:scene3d>
        <a:sp3d>
          <a:bevelT w="139700" prst="cross"/>
        </a:sp3d>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2000" b="1">
              <a:solidFill>
                <a:sysClr val="windowText" lastClr="000000"/>
              </a:solidFill>
            </a:rPr>
            <a:t>Calculate</a:t>
          </a:r>
        </a:p>
      </xdr:txBody>
    </xdr:sp>
    <xdr:clientData/>
  </xdr:twoCellAnchor>
  <xdr:twoCellAnchor>
    <xdr:from>
      <xdr:col>1</xdr:col>
      <xdr:colOff>789215</xdr:colOff>
      <xdr:row>24</xdr:row>
      <xdr:rowOff>95251</xdr:rowOff>
    </xdr:from>
    <xdr:to>
      <xdr:col>1</xdr:col>
      <xdr:colOff>2476501</xdr:colOff>
      <xdr:row>26</xdr:row>
      <xdr:rowOff>167822</xdr:rowOff>
    </xdr:to>
    <xdr:sp macro="[0]!Calculate_Click" textlink="">
      <xdr:nvSpPr>
        <xdr:cNvPr id="7" name="Rectangle: Rounded Corners 6">
          <a:extLst>
            <a:ext uri="{FF2B5EF4-FFF2-40B4-BE49-F238E27FC236}">
              <a16:creationId xmlns:a16="http://schemas.microsoft.com/office/drawing/2014/main" id="{CAEDF161-71DB-4BAE-94C4-6F07784527A9}"/>
            </a:ext>
          </a:extLst>
        </xdr:cNvPr>
        <xdr:cNvSpPr/>
      </xdr:nvSpPr>
      <xdr:spPr>
        <a:xfrm>
          <a:off x="1088572" y="7606394"/>
          <a:ext cx="1687286" cy="535214"/>
        </a:xfrm>
        <a:prstGeom prst="roundRect">
          <a:avLst/>
        </a:prstGeom>
        <a:solidFill>
          <a:schemeClr val="accent6">
            <a:lumMod val="60000"/>
            <a:lumOff val="40000"/>
          </a:schemeClr>
        </a:solidFill>
        <a:ln w="12700">
          <a:solidFill>
            <a:schemeClr val="tx1"/>
          </a:solidFill>
        </a:ln>
        <a:scene3d>
          <a:camera prst="orthographicFront"/>
          <a:lightRig rig="threePt" dir="t"/>
        </a:scene3d>
        <a:sp3d>
          <a:bevelT w="139700" prst="cross"/>
        </a:sp3d>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2000" b="1">
              <a:solidFill>
                <a:schemeClr val="tx1"/>
              </a:solidFill>
            </a:rPr>
            <a:t>Calculate</a:t>
          </a:r>
        </a:p>
      </xdr:txBody>
    </xdr:sp>
    <xdr:clientData/>
  </xdr:twoCellAnchor>
  <xdr:twoCellAnchor editAs="oneCell">
    <xdr:from>
      <xdr:col>1</xdr:col>
      <xdr:colOff>0</xdr:colOff>
      <xdr:row>0</xdr:row>
      <xdr:rowOff>0</xdr:rowOff>
    </xdr:from>
    <xdr:to>
      <xdr:col>3</xdr:col>
      <xdr:colOff>678373</xdr:colOff>
      <xdr:row>0</xdr:row>
      <xdr:rowOff>352474</xdr:rowOff>
    </xdr:to>
    <xdr:pic>
      <xdr:nvPicPr>
        <xdr:cNvPr id="3" name="Picture 2">
          <a:extLst>
            <a:ext uri="{FF2B5EF4-FFF2-40B4-BE49-F238E27FC236}">
              <a16:creationId xmlns:a16="http://schemas.microsoft.com/office/drawing/2014/main" id="{67AC41AB-CDEC-89F0-519C-9D3AC4DE7F87}"/>
            </a:ext>
          </a:extLst>
        </xdr:cNvPr>
        <xdr:cNvPicPr>
          <a:picLocks noChangeAspect="1"/>
        </xdr:cNvPicPr>
      </xdr:nvPicPr>
      <xdr:blipFill>
        <a:blip xmlns:r="http://schemas.openxmlformats.org/officeDocument/2006/relationships" r:embed="rId1"/>
        <a:stretch>
          <a:fillRect/>
        </a:stretch>
      </xdr:blipFill>
      <xdr:spPr>
        <a:xfrm>
          <a:off x="299357" y="0"/>
          <a:ext cx="5277587" cy="352474"/>
        </a:xfrm>
        <a:prstGeom prst="rect">
          <a:avLst/>
        </a:prstGeom>
      </xdr:spPr>
    </xdr:pic>
    <xdr:clientData/>
  </xdr:twoCellAnchor>
  <xdr:oneCellAnchor>
    <xdr:from>
      <xdr:col>10</xdr:col>
      <xdr:colOff>0</xdr:colOff>
      <xdr:row>1</xdr:row>
      <xdr:rowOff>0</xdr:rowOff>
    </xdr:from>
    <xdr:ext cx="9443357" cy="561949"/>
    <xdr:sp macro="" textlink="">
      <xdr:nvSpPr>
        <xdr:cNvPr id="5" name="TextBox 4">
          <a:extLst>
            <a:ext uri="{FF2B5EF4-FFF2-40B4-BE49-F238E27FC236}">
              <a16:creationId xmlns:a16="http://schemas.microsoft.com/office/drawing/2014/main" id="{68A0B84C-84BB-4B75-8ACA-5089F210C59E}"/>
            </a:ext>
          </a:extLst>
        </xdr:cNvPr>
        <xdr:cNvSpPr txBox="1"/>
      </xdr:nvSpPr>
      <xdr:spPr>
        <a:xfrm>
          <a:off x="15444107" y="381000"/>
          <a:ext cx="9443357" cy="561949"/>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500"/>
            <a:t>Use this worksheet to enter baseline and project manure-management data and calculate baseline methane emissions, venting emissions, effluent pond emissions, and non-BCS methane emissions.</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3</xdr:col>
      <xdr:colOff>403412</xdr:colOff>
      <xdr:row>3</xdr:row>
      <xdr:rowOff>56029</xdr:rowOff>
    </xdr:from>
    <xdr:to>
      <xdr:col>4</xdr:col>
      <xdr:colOff>212911</xdr:colOff>
      <xdr:row>3</xdr:row>
      <xdr:rowOff>411950</xdr:rowOff>
    </xdr:to>
    <xdr:sp macro="[0]!Calculate_Click" textlink="">
      <xdr:nvSpPr>
        <xdr:cNvPr id="3" name="Rectangle: Rounded Corners 2">
          <a:extLst>
            <a:ext uri="{FF2B5EF4-FFF2-40B4-BE49-F238E27FC236}">
              <a16:creationId xmlns:a16="http://schemas.microsoft.com/office/drawing/2014/main" id="{DE3796F6-05F6-4E15-BF70-ED68EAAE906C}"/>
            </a:ext>
          </a:extLst>
        </xdr:cNvPr>
        <xdr:cNvSpPr/>
      </xdr:nvSpPr>
      <xdr:spPr>
        <a:xfrm>
          <a:off x="4751294" y="1580029"/>
          <a:ext cx="1288676" cy="355921"/>
        </a:xfrm>
        <a:prstGeom prst="roundRect">
          <a:avLst/>
        </a:prstGeom>
        <a:solidFill>
          <a:schemeClr val="accent6">
            <a:lumMod val="60000"/>
            <a:lumOff val="40000"/>
          </a:schemeClr>
        </a:solidFill>
        <a:ln w="12700">
          <a:solidFill>
            <a:schemeClr val="tx1"/>
          </a:solidFill>
        </a:ln>
        <a:scene3d>
          <a:camera prst="orthographicFront"/>
          <a:lightRig rig="threePt" dir="t"/>
        </a:scene3d>
        <a:sp3d>
          <a:bevelT w="139700" prst="cross"/>
        </a:sp3d>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1600" b="1">
              <a:solidFill>
                <a:schemeClr val="tx1"/>
              </a:solidFill>
            </a:rPr>
            <a:t>Calculate</a:t>
          </a:r>
          <a:endParaRPr lang="en-US" sz="1800" b="1">
            <a:solidFill>
              <a:schemeClr val="tx1"/>
            </a:solidFill>
          </a:endParaRPr>
        </a:p>
      </xdr:txBody>
    </xdr:sp>
    <xdr:clientData/>
  </xdr:twoCellAnchor>
  <xdr:twoCellAnchor editAs="oneCell">
    <xdr:from>
      <xdr:col>1</xdr:col>
      <xdr:colOff>0</xdr:colOff>
      <xdr:row>0</xdr:row>
      <xdr:rowOff>0</xdr:rowOff>
    </xdr:from>
    <xdr:to>
      <xdr:col>4</xdr:col>
      <xdr:colOff>55646</xdr:colOff>
      <xdr:row>0</xdr:row>
      <xdr:rowOff>352474</xdr:rowOff>
    </xdr:to>
    <xdr:pic>
      <xdr:nvPicPr>
        <xdr:cNvPr id="4" name="Picture 3">
          <a:extLst>
            <a:ext uri="{FF2B5EF4-FFF2-40B4-BE49-F238E27FC236}">
              <a16:creationId xmlns:a16="http://schemas.microsoft.com/office/drawing/2014/main" id="{6D154DA2-CF95-C3E0-58CC-BC0D911C5C1A}"/>
            </a:ext>
          </a:extLst>
        </xdr:cNvPr>
        <xdr:cNvPicPr>
          <a:picLocks noChangeAspect="1"/>
        </xdr:cNvPicPr>
      </xdr:nvPicPr>
      <xdr:blipFill>
        <a:blip xmlns:r="http://schemas.openxmlformats.org/officeDocument/2006/relationships" r:embed="rId1"/>
        <a:stretch>
          <a:fillRect/>
        </a:stretch>
      </xdr:blipFill>
      <xdr:spPr>
        <a:xfrm>
          <a:off x="605118" y="0"/>
          <a:ext cx="5277587" cy="352474"/>
        </a:xfrm>
        <a:prstGeom prst="rect">
          <a:avLst/>
        </a:prstGeom>
      </xdr:spPr>
    </xdr:pic>
    <xdr:clientData/>
  </xdr:twoCellAnchor>
  <xdr:oneCellAnchor>
    <xdr:from>
      <xdr:col>1</xdr:col>
      <xdr:colOff>0</xdr:colOff>
      <xdr:row>1</xdr:row>
      <xdr:rowOff>0</xdr:rowOff>
    </xdr:from>
    <xdr:ext cx="9446558" cy="593239"/>
    <xdr:sp macro="" textlink="">
      <xdr:nvSpPr>
        <xdr:cNvPr id="5" name="TextBox 4">
          <a:extLst>
            <a:ext uri="{FF2B5EF4-FFF2-40B4-BE49-F238E27FC236}">
              <a16:creationId xmlns:a16="http://schemas.microsoft.com/office/drawing/2014/main" id="{E440C0B5-8170-4E33-A7DB-A36ABD5864F0}"/>
            </a:ext>
          </a:extLst>
        </xdr:cNvPr>
        <xdr:cNvSpPr txBox="1"/>
      </xdr:nvSpPr>
      <xdr:spPr>
        <a:xfrm>
          <a:off x="605118" y="381000"/>
          <a:ext cx="9446558" cy="593239"/>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600"/>
            <a:t>Use this worksheet to review calculated avoided methane emissions and avoided CO2 values for eligible pathways seeking Department-approved avoided methane emissions.</a:t>
          </a:r>
          <a:endParaRPr lang="en-US" sz="1500"/>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4</xdr:col>
      <xdr:colOff>843642</xdr:colOff>
      <xdr:row>23</xdr:row>
      <xdr:rowOff>176893</xdr:rowOff>
    </xdr:from>
    <xdr:to>
      <xdr:col>5</xdr:col>
      <xdr:colOff>721178</xdr:colOff>
      <xdr:row>23</xdr:row>
      <xdr:rowOff>712107</xdr:rowOff>
    </xdr:to>
    <xdr:sp macro="[0]!Calculate_Click" textlink="">
      <xdr:nvSpPr>
        <xdr:cNvPr id="3" name="Rectangle: Rounded Corners 2">
          <a:extLst>
            <a:ext uri="{FF2B5EF4-FFF2-40B4-BE49-F238E27FC236}">
              <a16:creationId xmlns:a16="http://schemas.microsoft.com/office/drawing/2014/main" id="{454E4298-5CCC-4CF7-B8E3-3F8C1C8754A5}"/>
            </a:ext>
          </a:extLst>
        </xdr:cNvPr>
        <xdr:cNvSpPr/>
      </xdr:nvSpPr>
      <xdr:spPr>
        <a:xfrm>
          <a:off x="6626678" y="9552214"/>
          <a:ext cx="1687286" cy="535214"/>
        </a:xfrm>
        <a:prstGeom prst="roundRect">
          <a:avLst/>
        </a:prstGeom>
        <a:solidFill>
          <a:schemeClr val="accent6">
            <a:lumMod val="60000"/>
            <a:lumOff val="40000"/>
          </a:schemeClr>
        </a:solidFill>
        <a:ln w="12700">
          <a:solidFill>
            <a:schemeClr val="tx1"/>
          </a:solidFill>
        </a:ln>
        <a:scene3d>
          <a:camera prst="orthographicFront"/>
          <a:lightRig rig="threePt" dir="t"/>
        </a:scene3d>
        <a:sp3d>
          <a:bevelT w="139700" prst="cross"/>
        </a:sp3d>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en-US" sz="2000" b="1">
              <a:solidFill>
                <a:schemeClr val="tx1"/>
              </a:solidFill>
            </a:rPr>
            <a:t>Calculate</a:t>
          </a:r>
        </a:p>
      </xdr:txBody>
    </xdr:sp>
    <xdr:clientData/>
  </xdr:twoCellAnchor>
  <xdr:twoCellAnchor editAs="oneCell">
    <xdr:from>
      <xdr:col>1</xdr:col>
      <xdr:colOff>0</xdr:colOff>
      <xdr:row>0</xdr:row>
      <xdr:rowOff>0</xdr:rowOff>
    </xdr:from>
    <xdr:to>
      <xdr:col>3</xdr:col>
      <xdr:colOff>1848587</xdr:colOff>
      <xdr:row>0</xdr:row>
      <xdr:rowOff>352474</xdr:rowOff>
    </xdr:to>
    <xdr:pic>
      <xdr:nvPicPr>
        <xdr:cNvPr id="4" name="Picture 3">
          <a:extLst>
            <a:ext uri="{FF2B5EF4-FFF2-40B4-BE49-F238E27FC236}">
              <a16:creationId xmlns:a16="http://schemas.microsoft.com/office/drawing/2014/main" id="{B243AB31-21E2-7977-53AE-6CE134E10961}"/>
            </a:ext>
          </a:extLst>
        </xdr:cNvPr>
        <xdr:cNvPicPr>
          <a:picLocks noChangeAspect="1"/>
        </xdr:cNvPicPr>
      </xdr:nvPicPr>
      <xdr:blipFill>
        <a:blip xmlns:r="http://schemas.openxmlformats.org/officeDocument/2006/relationships" r:embed="rId1"/>
        <a:stretch>
          <a:fillRect/>
        </a:stretch>
      </xdr:blipFill>
      <xdr:spPr>
        <a:xfrm>
          <a:off x="261938" y="0"/>
          <a:ext cx="5277587" cy="352474"/>
        </a:xfrm>
        <a:prstGeom prst="rect">
          <a:avLst/>
        </a:prstGeom>
      </xdr:spPr>
    </xdr:pic>
    <xdr:clientData/>
  </xdr:twoCellAnchor>
  <xdr:oneCellAnchor>
    <xdr:from>
      <xdr:col>1</xdr:col>
      <xdr:colOff>0</xdr:colOff>
      <xdr:row>1</xdr:row>
      <xdr:rowOff>0</xdr:rowOff>
    </xdr:from>
    <xdr:ext cx="14323218" cy="593239"/>
    <xdr:sp macro="" textlink="">
      <xdr:nvSpPr>
        <xdr:cNvPr id="2" name="TextBox 1">
          <a:extLst>
            <a:ext uri="{FF2B5EF4-FFF2-40B4-BE49-F238E27FC236}">
              <a16:creationId xmlns:a16="http://schemas.microsoft.com/office/drawing/2014/main" id="{53D6D7FE-07C0-4646-B4E6-5806A6C9FB15}"/>
            </a:ext>
          </a:extLst>
        </xdr:cNvPr>
        <xdr:cNvSpPr txBox="1"/>
      </xdr:nvSpPr>
      <xdr:spPr>
        <a:xfrm>
          <a:off x="261938" y="381000"/>
          <a:ext cx="14323218" cy="593239"/>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lang="en-US" sz="1600"/>
            <a:t>Use this worksheet to enter applicant information, biomethane production data, project energy use, fuel production data, and CNG, LNG, or L-CNG transport data used to calculate pathway CI.</a:t>
          </a:r>
          <a:endParaRPr lang="en-US" sz="1500"/>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5</xdr:col>
      <xdr:colOff>187208</xdr:colOff>
      <xdr:row>7</xdr:row>
      <xdr:rowOff>71808</xdr:rowOff>
    </xdr:from>
    <xdr:to>
      <xdr:col>10</xdr:col>
      <xdr:colOff>1088159</xdr:colOff>
      <xdr:row>16</xdr:row>
      <xdr:rowOff>3762121</xdr:rowOff>
    </xdr:to>
    <xdr:pic>
      <xdr:nvPicPr>
        <xdr:cNvPr id="3" name="Picture 3">
          <a:extLst>
            <a:ext uri="{FF2B5EF4-FFF2-40B4-BE49-F238E27FC236}">
              <a16:creationId xmlns:a16="http://schemas.microsoft.com/office/drawing/2014/main" id="{06758C26-57F5-4C47-B817-873FDF9E1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5998664" y="1844181"/>
          <a:ext cx="7592565" cy="5607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5</xdr:col>
      <xdr:colOff>81036</xdr:colOff>
      <xdr:row>0</xdr:row>
      <xdr:rowOff>352474</xdr:rowOff>
    </xdr:to>
    <xdr:pic>
      <xdr:nvPicPr>
        <xdr:cNvPr id="2" name="Picture 1">
          <a:extLst>
            <a:ext uri="{FF2B5EF4-FFF2-40B4-BE49-F238E27FC236}">
              <a16:creationId xmlns:a16="http://schemas.microsoft.com/office/drawing/2014/main" id="{E40D0B8C-76CD-F7BA-817A-7E779DEBD09C}"/>
            </a:ext>
          </a:extLst>
        </xdr:cNvPr>
        <xdr:cNvPicPr>
          <a:picLocks noChangeAspect="1"/>
        </xdr:cNvPicPr>
      </xdr:nvPicPr>
      <xdr:blipFill>
        <a:blip xmlns:r="http://schemas.openxmlformats.org/officeDocument/2006/relationships" r:embed="rId2"/>
        <a:stretch>
          <a:fillRect/>
        </a:stretch>
      </xdr:blipFill>
      <xdr:spPr>
        <a:xfrm>
          <a:off x="614905" y="0"/>
          <a:ext cx="5277587" cy="352474"/>
        </a:xfrm>
        <a:prstGeom prst="rect">
          <a:avLst/>
        </a:prstGeom>
      </xdr:spPr>
    </xdr:pic>
    <xdr:clientData/>
  </xdr:twoCellAnchor>
  <xdr:oneCellAnchor>
    <xdr:from>
      <xdr:col>5</xdr:col>
      <xdr:colOff>180854</xdr:colOff>
      <xdr:row>1</xdr:row>
      <xdr:rowOff>36171</xdr:rowOff>
    </xdr:from>
    <xdr:ext cx="7535602" cy="916329"/>
    <xdr:sp macro="" textlink="">
      <xdr:nvSpPr>
        <xdr:cNvPr id="4" name="TextBox 3">
          <a:extLst>
            <a:ext uri="{FF2B5EF4-FFF2-40B4-BE49-F238E27FC236}">
              <a16:creationId xmlns:a16="http://schemas.microsoft.com/office/drawing/2014/main" id="{83B49B99-0785-42A7-AB60-AF4BA84E6302}"/>
            </a:ext>
          </a:extLst>
        </xdr:cNvPr>
        <xdr:cNvSpPr txBox="1"/>
      </xdr:nvSpPr>
      <xdr:spPr>
        <a:xfrm>
          <a:off x="5992310" y="421994"/>
          <a:ext cx="7535602" cy="916329"/>
        </a:xfrm>
        <a:prstGeom prst="rect">
          <a:avLst/>
        </a:prstGeom>
        <a:solidFill>
          <a:srgbClr val="FFD8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en-US" sz="1600"/>
            <a:t>This worksheet contains predefined emission factors, fuel specifications, unit conversions, and other reference values used in the calculator. Do not modify these values unless directed by NMED.</a:t>
          </a:r>
          <a:endParaRPr lang="en-US" sz="1500"/>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56F3B21-CC31-4FD6-82D8-0BD9535F1EA5}">
  <we:reference id="db18cc72-1a17-45df-b60e-7ffb655e8af5" version="1.0.0.4" store="EXCatalog" storeType="EXCatalog"/>
  <we:alternateReferences>
    <we:reference id="WA104381701" version="1.0.0.4" store="en-US"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v.nm.gov/clean-transportation-fuel-program/"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2.arb.ca.gov/our-work/programs/compliance-offset-program/compliance-offset-protocols/livestock-projects"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8" Type="http://schemas.openxmlformats.org/officeDocument/2006/relationships/comments" Target="../comments5.xml"/><Relationship Id="rId3" Type="http://schemas.openxmlformats.org/officeDocument/2006/relationships/hyperlink" Target="https:/www.canr.msu.edu/uploads/files/ManureCharacteristicsMWPS-18_1.pdf" TargetMode="External"/><Relationship Id="rId7" Type="http://schemas.openxmlformats.org/officeDocument/2006/relationships/vmlDrawing" Target="../drawings/vmlDrawing5.vml"/><Relationship Id="rId2" Type="http://schemas.openxmlformats.org/officeDocument/2006/relationships/hyperlink" Target="https://www.ipcc-nggip.iges.or.jp/public/2006gl/pdf/4_Volume4/V4_10_Ch10_Livestock.pdf" TargetMode="External"/><Relationship Id="rId1" Type="http://schemas.openxmlformats.org/officeDocument/2006/relationships/hyperlink" Target="https://ww2.arb.ca.gov/sites/default/files/barcu/regact/2014/capandtrade14/ctlivestockprotocol.pdf"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https://www.energy.gov/sites/default/files/2025-01/generic-counterfactual-greenhouse-gas-emission-factor-for-life-cycle-assessment-of-manure-derived-biogas-and-renewable-natural-gas_0102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29B1D-AE79-437A-B922-C6E94672B62B}">
  <sheetPr codeName="Introduction">
    <tabColor rgb="FF2798A9"/>
  </sheetPr>
  <dimension ref="A1:AR102"/>
  <sheetViews>
    <sheetView tabSelected="1" zoomScaleNormal="100" workbookViewId="0">
      <pane xSplit="1" ySplit="3" topLeftCell="B5" activePane="bottomRight" state="frozen"/>
      <selection pane="topRight" activeCell="B1" sqref="B1"/>
      <selection pane="bottomLeft" activeCell="A4" sqref="A4"/>
      <selection pane="bottomRight" activeCell="C4" sqref="C4:G5"/>
    </sheetView>
  </sheetViews>
  <sheetFormatPr defaultColWidth="20.7265625" defaultRowHeight="14.5" x14ac:dyDescent="0.35"/>
  <cols>
    <col min="1" max="1" width="4.7265625" style="748" customWidth="1"/>
    <col min="2" max="2" width="10.7265625" style="1" customWidth="1"/>
    <col min="3" max="3" width="55.81640625" style="1" customWidth="1"/>
    <col min="4" max="4" width="28.7265625" style="1" customWidth="1"/>
    <col min="5" max="5" width="13.81640625" style="1" customWidth="1"/>
    <col min="6" max="6" width="54.26953125" style="1" customWidth="1"/>
    <col min="7" max="7" width="61" style="1" customWidth="1"/>
    <col min="8" max="8" width="10.7265625" style="1" customWidth="1"/>
    <col min="9" max="9" width="255.7265625" style="748" customWidth="1"/>
    <col min="10" max="10" width="62.1796875" style="748" customWidth="1"/>
    <col min="11" max="11" width="39.81640625" style="751" customWidth="1"/>
    <col min="12" max="12" width="61.1796875" style="748" customWidth="1"/>
    <col min="13" max="13" width="50.26953125" style="748" customWidth="1"/>
    <col min="14" max="14" width="28.54296875" style="748" customWidth="1"/>
    <col min="15" max="15" width="34" style="748" bestFit="1" customWidth="1"/>
    <col min="16" max="16" width="19.1796875" style="748" customWidth="1"/>
    <col min="17" max="17" width="19.26953125" style="748" customWidth="1"/>
    <col min="18" max="18" width="14.453125" style="748" customWidth="1"/>
    <col min="19" max="19" width="23.81640625" style="748" customWidth="1"/>
    <col min="20" max="20" width="17.81640625" style="748" customWidth="1"/>
    <col min="21" max="21" width="25.1796875" style="748" customWidth="1"/>
    <col min="22" max="22" width="14.81640625" style="748" customWidth="1"/>
    <col min="23" max="23" width="15.26953125" style="748" customWidth="1"/>
    <col min="24" max="24" width="24.453125" style="748" customWidth="1"/>
    <col min="25" max="25" width="18.54296875" style="748" bestFit="1" customWidth="1"/>
    <col min="26" max="26" width="18.54296875" style="748" customWidth="1"/>
    <col min="27" max="28" width="12.453125" style="748" customWidth="1"/>
    <col min="29" max="29" width="29" style="748" customWidth="1"/>
    <col min="30" max="30" width="23.54296875" style="748" customWidth="1"/>
    <col min="31" max="31" width="19.453125" style="748" customWidth="1"/>
    <col min="32" max="16384" width="20.7265625" style="748"/>
  </cols>
  <sheetData>
    <row r="1" spans="1:44" ht="20.149999999999999" customHeight="1" x14ac:dyDescent="0.35">
      <c r="A1" s="746"/>
      <c r="B1" s="746"/>
      <c r="C1" s="746"/>
      <c r="D1" s="746"/>
      <c r="E1" s="746"/>
      <c r="F1" s="746"/>
      <c r="G1" s="746"/>
      <c r="H1" s="746"/>
      <c r="I1" s="744"/>
      <c r="J1" s="744"/>
      <c r="K1" s="745"/>
      <c r="L1" s="745"/>
      <c r="M1" s="745"/>
      <c r="N1" s="746"/>
      <c r="O1" s="746"/>
      <c r="P1" s="746"/>
      <c r="Q1" s="746"/>
      <c r="R1" s="746"/>
      <c r="S1" s="747"/>
      <c r="T1" s="747"/>
      <c r="U1" s="747"/>
      <c r="V1" s="747"/>
      <c r="W1" s="747"/>
      <c r="X1" s="747"/>
      <c r="Y1" s="747"/>
      <c r="Z1" s="747"/>
      <c r="AA1" s="747"/>
      <c r="AB1" s="747"/>
      <c r="AC1" s="747"/>
      <c r="AD1" s="747"/>
      <c r="AE1" s="747"/>
      <c r="AF1" s="747"/>
      <c r="AG1" s="747"/>
      <c r="AH1" s="747"/>
      <c r="AI1" s="747"/>
      <c r="AJ1" s="747"/>
      <c r="AK1" s="747"/>
      <c r="AL1" s="747"/>
      <c r="AM1" s="747"/>
      <c r="AN1" s="747"/>
      <c r="AO1" s="746"/>
      <c r="AP1" s="746"/>
      <c r="AQ1" s="746"/>
      <c r="AR1" s="746"/>
    </row>
    <row r="2" spans="1:44" ht="97.5" customHeight="1" x14ac:dyDescent="0.35">
      <c r="A2" s="746"/>
      <c r="B2" s="281"/>
      <c r="C2" s="279"/>
      <c r="D2" s="279"/>
      <c r="E2" s="279"/>
      <c r="F2" s="279"/>
      <c r="G2" s="279"/>
      <c r="H2" s="280"/>
      <c r="I2" s="746"/>
      <c r="J2" s="746"/>
      <c r="K2" s="745"/>
      <c r="L2" s="746"/>
      <c r="M2" s="746"/>
      <c r="N2" s="746"/>
      <c r="O2" s="746"/>
      <c r="P2" s="746"/>
      <c r="Q2" s="746"/>
      <c r="R2" s="746"/>
      <c r="S2" s="747"/>
      <c r="T2" s="747"/>
      <c r="U2" s="747"/>
      <c r="V2" s="747"/>
      <c r="W2" s="747"/>
      <c r="X2" s="747"/>
      <c r="Y2" s="747"/>
      <c r="Z2" s="747"/>
      <c r="AA2" s="747"/>
      <c r="AB2" s="747"/>
      <c r="AC2" s="747"/>
      <c r="AD2" s="747"/>
      <c r="AE2" s="747"/>
      <c r="AF2" s="747"/>
      <c r="AG2" s="747"/>
      <c r="AH2" s="747"/>
      <c r="AI2" s="747"/>
      <c r="AJ2" s="747"/>
      <c r="AK2" s="747"/>
      <c r="AL2" s="747"/>
      <c r="AM2" s="747"/>
      <c r="AN2" s="747"/>
      <c r="AO2" s="746"/>
      <c r="AP2" s="746"/>
      <c r="AQ2" s="746"/>
      <c r="AR2" s="746"/>
    </row>
    <row r="3" spans="1:44" ht="55.5" customHeight="1" x14ac:dyDescent="0.35">
      <c r="A3" s="746"/>
      <c r="B3" s="815" t="s">
        <v>727</v>
      </c>
      <c r="C3" s="816"/>
      <c r="D3" s="816"/>
      <c r="E3" s="816"/>
      <c r="F3" s="816"/>
      <c r="G3" s="816"/>
      <c r="H3" s="817"/>
      <c r="I3" s="746"/>
      <c r="J3" s="746"/>
      <c r="K3" s="745"/>
      <c r="L3" s="746"/>
      <c r="M3" s="746"/>
      <c r="N3" s="746"/>
      <c r="O3" s="746"/>
      <c r="P3" s="746"/>
      <c r="Q3" s="746"/>
      <c r="R3" s="746"/>
      <c r="S3" s="747"/>
      <c r="T3" s="747"/>
      <c r="U3" s="747"/>
      <c r="V3" s="747"/>
      <c r="W3" s="747"/>
      <c r="X3" s="747"/>
      <c r="Y3" s="747"/>
      <c r="Z3" s="747"/>
      <c r="AA3" s="747"/>
      <c r="AB3" s="747"/>
      <c r="AC3" s="747"/>
      <c r="AD3" s="747"/>
      <c r="AE3" s="747"/>
      <c r="AF3" s="747"/>
      <c r="AG3" s="747"/>
      <c r="AH3" s="747"/>
      <c r="AI3" s="747"/>
      <c r="AJ3" s="747"/>
      <c r="AK3" s="747"/>
      <c r="AL3" s="747"/>
      <c r="AM3" s="747"/>
      <c r="AN3" s="747"/>
      <c r="AO3" s="746"/>
      <c r="AP3" s="746"/>
      <c r="AQ3" s="746"/>
      <c r="AR3" s="746"/>
    </row>
    <row r="4" spans="1:44" ht="409.6" customHeight="1" x14ac:dyDescent="0.35">
      <c r="A4" s="746"/>
      <c r="B4" s="282"/>
      <c r="C4" s="818" t="s">
        <v>722</v>
      </c>
      <c r="D4" s="818"/>
      <c r="E4" s="818"/>
      <c r="F4" s="818"/>
      <c r="G4" s="818"/>
      <c r="H4" s="284"/>
      <c r="I4" s="746"/>
      <c r="J4" s="746"/>
      <c r="K4" s="745"/>
      <c r="L4" s="746"/>
      <c r="M4" s="746"/>
      <c r="N4" s="746"/>
      <c r="O4" s="746"/>
      <c r="P4" s="746"/>
      <c r="Q4" s="746"/>
      <c r="R4" s="746"/>
      <c r="S4" s="747"/>
      <c r="T4" s="747"/>
      <c r="U4" s="747"/>
      <c r="V4" s="747"/>
      <c r="W4" s="747"/>
      <c r="X4" s="747"/>
      <c r="Y4" s="747"/>
      <c r="Z4" s="747"/>
      <c r="AA4" s="747"/>
      <c r="AB4" s="747"/>
      <c r="AC4" s="747"/>
      <c r="AD4" s="747"/>
      <c r="AE4" s="747"/>
      <c r="AF4" s="747"/>
      <c r="AG4" s="747"/>
      <c r="AH4" s="747"/>
      <c r="AI4" s="747"/>
      <c r="AJ4" s="747"/>
      <c r="AK4" s="747"/>
      <c r="AL4" s="747"/>
      <c r="AM4" s="747"/>
      <c r="AN4" s="747"/>
      <c r="AO4" s="746"/>
      <c r="AP4" s="746"/>
      <c r="AQ4" s="746"/>
      <c r="AR4" s="746"/>
    </row>
    <row r="5" spans="1:44" ht="350.15" customHeight="1" x14ac:dyDescent="0.35">
      <c r="A5" s="746"/>
      <c r="B5" s="282"/>
      <c r="C5" s="818"/>
      <c r="D5" s="818"/>
      <c r="E5" s="818"/>
      <c r="F5" s="818"/>
      <c r="G5" s="818"/>
      <c r="H5" s="284"/>
      <c r="I5" s="746"/>
      <c r="J5" s="746"/>
      <c r="K5" s="745"/>
      <c r="L5" s="746"/>
      <c r="M5" s="746"/>
      <c r="N5" s="746"/>
      <c r="O5" s="746"/>
      <c r="P5" s="746"/>
      <c r="Q5" s="746"/>
      <c r="R5" s="746"/>
      <c r="S5" s="747"/>
      <c r="T5" s="747"/>
      <c r="U5" s="747"/>
      <c r="V5" s="747"/>
      <c r="W5" s="747"/>
      <c r="X5" s="747"/>
      <c r="Y5" s="747"/>
      <c r="Z5" s="747"/>
      <c r="AA5" s="747"/>
      <c r="AB5" s="747"/>
      <c r="AC5" s="747"/>
      <c r="AD5" s="747"/>
      <c r="AE5" s="747"/>
      <c r="AF5" s="747"/>
      <c r="AG5" s="747"/>
      <c r="AH5" s="747"/>
      <c r="AI5" s="747"/>
      <c r="AJ5" s="747"/>
      <c r="AK5" s="747"/>
      <c r="AL5" s="747"/>
      <c r="AM5" s="747"/>
      <c r="AN5" s="747"/>
      <c r="AO5" s="746"/>
      <c r="AP5" s="746"/>
      <c r="AQ5" s="746"/>
      <c r="AR5" s="746"/>
    </row>
    <row r="6" spans="1:44" ht="25.5" customHeight="1" x14ac:dyDescent="0.35">
      <c r="A6" s="746"/>
      <c r="B6" s="282"/>
      <c r="C6" s="283"/>
      <c r="D6" s="283"/>
      <c r="E6" s="283"/>
      <c r="F6" s="283"/>
      <c r="G6" s="283"/>
      <c r="H6" s="284"/>
      <c r="I6" s="746"/>
      <c r="J6" s="746"/>
      <c r="K6" s="745"/>
      <c r="L6" s="746"/>
      <c r="M6" s="746"/>
      <c r="N6" s="746"/>
      <c r="O6" s="746"/>
      <c r="P6" s="746"/>
      <c r="Q6" s="746"/>
      <c r="R6" s="746"/>
      <c r="S6" s="747"/>
      <c r="T6" s="747"/>
      <c r="U6" s="747"/>
      <c r="V6" s="747"/>
      <c r="W6" s="747"/>
      <c r="X6" s="747"/>
      <c r="Y6" s="747"/>
      <c r="Z6" s="747"/>
      <c r="AA6" s="747"/>
      <c r="AB6" s="747"/>
      <c r="AC6" s="747"/>
      <c r="AD6" s="747"/>
      <c r="AE6" s="747"/>
      <c r="AF6" s="747"/>
      <c r="AG6" s="747"/>
      <c r="AH6" s="747"/>
      <c r="AI6" s="747"/>
      <c r="AJ6" s="747"/>
      <c r="AK6" s="747"/>
      <c r="AL6" s="747"/>
      <c r="AM6" s="747"/>
      <c r="AN6" s="747"/>
      <c r="AO6" s="746"/>
      <c r="AP6" s="746"/>
      <c r="AQ6" s="746"/>
      <c r="AR6" s="746"/>
    </row>
    <row r="7" spans="1:44" ht="21" x14ac:dyDescent="0.35">
      <c r="A7" s="746"/>
      <c r="B7" s="819"/>
      <c r="C7" s="820"/>
      <c r="D7" s="352" t="s">
        <v>0</v>
      </c>
      <c r="E7" s="821"/>
      <c r="F7" s="352" t="s">
        <v>655</v>
      </c>
      <c r="G7" s="822"/>
      <c r="H7" s="823"/>
      <c r="I7" s="746"/>
      <c r="J7" s="746"/>
      <c r="K7" s="745"/>
      <c r="L7" s="746"/>
      <c r="M7" s="746"/>
      <c r="N7" s="746"/>
      <c r="O7" s="746"/>
      <c r="P7" s="746"/>
      <c r="Q7" s="746"/>
      <c r="R7" s="746"/>
      <c r="S7" s="747"/>
      <c r="T7" s="747"/>
      <c r="U7" s="747"/>
      <c r="V7" s="747"/>
      <c r="W7" s="747"/>
      <c r="X7" s="747"/>
      <c r="Y7" s="747"/>
      <c r="Z7" s="747"/>
      <c r="AA7" s="747"/>
      <c r="AB7" s="747"/>
      <c r="AC7" s="747"/>
      <c r="AD7" s="747"/>
      <c r="AE7" s="747"/>
      <c r="AF7" s="747"/>
      <c r="AG7" s="747"/>
      <c r="AH7" s="747"/>
      <c r="AI7" s="747"/>
      <c r="AJ7" s="747"/>
      <c r="AK7" s="747"/>
      <c r="AL7" s="747"/>
      <c r="AM7" s="747"/>
      <c r="AN7" s="747"/>
      <c r="AO7" s="746"/>
      <c r="AP7" s="746"/>
      <c r="AQ7" s="746"/>
      <c r="AR7" s="746"/>
    </row>
    <row r="8" spans="1:44" ht="21" x14ac:dyDescent="0.35">
      <c r="A8" s="746"/>
      <c r="B8" s="819"/>
      <c r="C8" s="820"/>
      <c r="D8" s="353" t="s">
        <v>1</v>
      </c>
      <c r="E8" s="821"/>
      <c r="F8" s="2" t="s">
        <v>471</v>
      </c>
      <c r="G8" s="822"/>
      <c r="H8" s="823"/>
      <c r="I8" s="746"/>
      <c r="J8" s="746"/>
      <c r="K8" s="745"/>
      <c r="L8" s="746"/>
      <c r="M8" s="746"/>
      <c r="N8" s="746"/>
      <c r="O8" s="746"/>
      <c r="P8" s="746"/>
      <c r="Q8" s="746"/>
      <c r="R8" s="746"/>
      <c r="S8" s="747"/>
      <c r="T8" s="747"/>
      <c r="U8" s="747"/>
      <c r="V8" s="747"/>
      <c r="W8" s="747"/>
      <c r="X8" s="747"/>
      <c r="Y8" s="747"/>
      <c r="Z8" s="747"/>
      <c r="AA8" s="747"/>
      <c r="AB8" s="747"/>
      <c r="AC8" s="747"/>
      <c r="AD8" s="747"/>
      <c r="AE8" s="747"/>
      <c r="AF8" s="747"/>
      <c r="AG8" s="747"/>
      <c r="AH8" s="747"/>
      <c r="AI8" s="747"/>
      <c r="AJ8" s="747"/>
      <c r="AK8" s="747"/>
      <c r="AL8" s="747"/>
      <c r="AM8" s="747"/>
      <c r="AN8" s="747"/>
      <c r="AO8" s="746"/>
      <c r="AP8" s="746"/>
      <c r="AQ8" s="746"/>
      <c r="AR8" s="746"/>
    </row>
    <row r="9" spans="1:44" ht="21" x14ac:dyDescent="0.35">
      <c r="A9" s="746"/>
      <c r="B9" s="819"/>
      <c r="C9" s="820"/>
      <c r="D9" s="743" t="s">
        <v>2</v>
      </c>
      <c r="E9" s="821"/>
      <c r="F9" s="350" t="s">
        <v>3</v>
      </c>
      <c r="G9" s="822"/>
      <c r="H9" s="823"/>
      <c r="I9" s="746"/>
      <c r="J9" s="746"/>
      <c r="K9" s="745"/>
      <c r="L9" s="746"/>
      <c r="M9" s="746"/>
      <c r="N9" s="746"/>
      <c r="O9" s="746"/>
      <c r="P9" s="746"/>
      <c r="Q9" s="746"/>
      <c r="R9" s="746"/>
      <c r="S9" s="747"/>
      <c r="T9" s="747"/>
      <c r="U9" s="747"/>
      <c r="V9" s="747"/>
      <c r="W9" s="747"/>
      <c r="X9" s="747"/>
      <c r="Y9" s="747"/>
      <c r="Z9" s="747"/>
      <c r="AA9" s="747"/>
      <c r="AB9" s="747"/>
      <c r="AC9" s="747"/>
      <c r="AD9" s="747"/>
      <c r="AE9" s="747"/>
      <c r="AF9" s="747"/>
      <c r="AG9" s="747"/>
      <c r="AH9" s="747"/>
      <c r="AI9" s="747"/>
      <c r="AJ9" s="747"/>
      <c r="AK9" s="747"/>
      <c r="AL9" s="747"/>
      <c r="AM9" s="747"/>
      <c r="AN9" s="747"/>
      <c r="AO9" s="746"/>
      <c r="AP9" s="746"/>
      <c r="AQ9" s="746"/>
      <c r="AR9" s="746"/>
    </row>
    <row r="10" spans="1:44" ht="21" x14ac:dyDescent="0.35">
      <c r="A10" s="749"/>
      <c r="B10" s="819"/>
      <c r="C10" s="820"/>
      <c r="D10" s="354" t="s">
        <v>580</v>
      </c>
      <c r="E10" s="821"/>
      <c r="F10" s="350" t="s">
        <v>618</v>
      </c>
      <c r="G10" s="822"/>
      <c r="H10" s="823"/>
      <c r="I10" s="746"/>
      <c r="J10" s="746"/>
      <c r="K10" s="745"/>
      <c r="L10" s="746"/>
      <c r="M10" s="746"/>
      <c r="N10" s="746"/>
      <c r="O10" s="746"/>
      <c r="P10" s="746"/>
      <c r="Q10" s="746"/>
      <c r="R10" s="746"/>
      <c r="S10" s="747"/>
      <c r="T10" s="747"/>
      <c r="U10" s="747"/>
      <c r="V10" s="747"/>
      <c r="W10" s="747"/>
      <c r="X10" s="747"/>
      <c r="Y10" s="747"/>
      <c r="Z10" s="747"/>
      <c r="AA10" s="747"/>
      <c r="AB10" s="747"/>
      <c r="AC10" s="747"/>
      <c r="AD10" s="747"/>
      <c r="AE10" s="747"/>
      <c r="AF10" s="747"/>
      <c r="AG10" s="747"/>
      <c r="AH10" s="747"/>
      <c r="AI10" s="747"/>
      <c r="AJ10" s="747"/>
      <c r="AK10" s="747"/>
      <c r="AL10" s="747"/>
      <c r="AM10" s="747"/>
      <c r="AN10" s="747"/>
      <c r="AO10" s="746"/>
      <c r="AP10" s="746"/>
      <c r="AQ10" s="746"/>
      <c r="AR10" s="746"/>
    </row>
    <row r="11" spans="1:44" ht="21" x14ac:dyDescent="0.35">
      <c r="A11" s="749"/>
      <c r="B11" s="285"/>
      <c r="C11" s="286"/>
      <c r="D11" s="355" t="s">
        <v>4</v>
      </c>
      <c r="E11" s="287"/>
      <c r="F11" s="288"/>
      <c r="G11" s="3"/>
      <c r="H11" s="274"/>
      <c r="I11" s="746"/>
      <c r="J11" s="746"/>
      <c r="K11" s="745"/>
      <c r="L11" s="746"/>
      <c r="M11" s="746"/>
      <c r="N11" s="746"/>
      <c r="O11" s="746"/>
      <c r="P11" s="746"/>
      <c r="Q11" s="746"/>
      <c r="R11" s="746"/>
      <c r="S11" s="747"/>
      <c r="T11" s="747"/>
      <c r="U11" s="747"/>
      <c r="V11" s="747"/>
      <c r="W11" s="747"/>
      <c r="X11" s="747"/>
      <c r="Y11" s="747"/>
      <c r="Z11" s="747"/>
      <c r="AA11" s="747"/>
      <c r="AB11" s="747"/>
      <c r="AC11" s="747"/>
      <c r="AD11" s="747"/>
      <c r="AE11" s="747"/>
      <c r="AF11" s="747"/>
      <c r="AG11" s="747"/>
      <c r="AH11" s="747"/>
      <c r="AI11" s="747"/>
      <c r="AJ11" s="747"/>
      <c r="AK11" s="747"/>
      <c r="AL11" s="747"/>
      <c r="AM11" s="747"/>
      <c r="AN11" s="747"/>
      <c r="AO11" s="746"/>
      <c r="AP11" s="746"/>
      <c r="AQ11" s="746"/>
      <c r="AR11" s="746"/>
    </row>
    <row r="12" spans="1:44" s="751" customFormat="1" x14ac:dyDescent="0.35">
      <c r="A12" s="749"/>
      <c r="B12" s="812"/>
      <c r="C12" s="813"/>
      <c r="D12" s="813"/>
      <c r="E12" s="813"/>
      <c r="F12" s="813"/>
      <c r="G12" s="813"/>
      <c r="H12" s="814"/>
      <c r="I12" s="749"/>
      <c r="J12" s="749"/>
      <c r="K12" s="749"/>
      <c r="L12" s="749"/>
      <c r="M12" s="749"/>
      <c r="N12" s="749"/>
      <c r="O12" s="749"/>
      <c r="P12" s="749"/>
      <c r="Q12" s="749"/>
      <c r="R12" s="749"/>
      <c r="S12" s="749"/>
      <c r="T12" s="749"/>
      <c r="U12" s="749"/>
      <c r="V12" s="749"/>
      <c r="W12" s="749"/>
      <c r="X12" s="749"/>
      <c r="Y12" s="749"/>
      <c r="Z12" s="749"/>
      <c r="AA12" s="749"/>
      <c r="AB12" s="749"/>
      <c r="AC12" s="749"/>
      <c r="AD12" s="749"/>
      <c r="AE12" s="749"/>
      <c r="AF12" s="749"/>
      <c r="AG12" s="749"/>
      <c r="AH12" s="749"/>
      <c r="AI12" s="749"/>
      <c r="AJ12" s="749"/>
      <c r="AK12" s="749"/>
      <c r="AL12" s="750"/>
      <c r="AM12" s="749"/>
      <c r="AN12" s="749"/>
      <c r="AO12" s="749"/>
      <c r="AP12" s="749"/>
      <c r="AQ12" s="749"/>
      <c r="AR12" s="749"/>
    </row>
    <row r="13" spans="1:44" s="751" customFormat="1" ht="409" customHeight="1" x14ac:dyDescent="0.35">
      <c r="A13" s="749"/>
      <c r="B13" s="356"/>
      <c r="C13" s="356"/>
      <c r="D13" s="356"/>
      <c r="E13" s="356"/>
      <c r="F13" s="356"/>
      <c r="G13" s="356"/>
      <c r="H13" s="358"/>
      <c r="I13" s="749"/>
      <c r="J13" s="749"/>
      <c r="K13" s="749"/>
      <c r="L13" s="749"/>
      <c r="M13" s="749"/>
      <c r="N13" s="749"/>
      <c r="O13" s="749"/>
      <c r="P13" s="749"/>
      <c r="Q13" s="749"/>
      <c r="R13" s="749"/>
      <c r="S13" s="749"/>
      <c r="T13" s="749"/>
      <c r="U13" s="749"/>
      <c r="V13" s="749"/>
      <c r="W13" s="749"/>
      <c r="X13" s="749"/>
      <c r="Y13" s="749"/>
      <c r="Z13" s="749"/>
      <c r="AA13" s="749"/>
      <c r="AB13" s="749"/>
      <c r="AC13" s="749"/>
      <c r="AD13" s="749"/>
      <c r="AE13" s="749"/>
      <c r="AF13" s="749"/>
      <c r="AG13" s="749"/>
      <c r="AH13" s="749"/>
      <c r="AI13" s="749"/>
      <c r="AJ13" s="749"/>
      <c r="AK13" s="749"/>
      <c r="AL13" s="750"/>
      <c r="AM13" s="749"/>
      <c r="AN13" s="749"/>
      <c r="AO13" s="749"/>
      <c r="AP13" s="749"/>
      <c r="AQ13" s="749"/>
      <c r="AR13" s="749"/>
    </row>
    <row r="14" spans="1:44" s="751" customFormat="1" x14ac:dyDescent="0.35">
      <c r="A14" s="746"/>
      <c r="B14" s="356"/>
      <c r="C14" s="356"/>
      <c r="D14" s="356"/>
      <c r="E14" s="356"/>
      <c r="F14" s="356"/>
      <c r="G14" s="356"/>
      <c r="H14" s="356"/>
      <c r="I14" s="749"/>
      <c r="J14" s="749"/>
      <c r="K14" s="749"/>
      <c r="L14" s="749"/>
      <c r="M14" s="749"/>
      <c r="N14" s="749"/>
      <c r="O14" s="749"/>
      <c r="P14" s="749"/>
      <c r="Q14" s="749"/>
      <c r="R14" s="749"/>
      <c r="S14" s="749"/>
      <c r="T14" s="749"/>
      <c r="U14" s="749"/>
      <c r="V14" s="749"/>
      <c r="W14" s="749"/>
      <c r="X14" s="749"/>
      <c r="Y14" s="749"/>
      <c r="Z14" s="749"/>
      <c r="AA14" s="749"/>
      <c r="AB14" s="749"/>
      <c r="AC14" s="749"/>
      <c r="AD14" s="749"/>
      <c r="AE14" s="749"/>
      <c r="AF14" s="749"/>
      <c r="AG14" s="749"/>
      <c r="AH14" s="749"/>
      <c r="AI14" s="749"/>
      <c r="AJ14" s="749"/>
      <c r="AK14" s="749"/>
      <c r="AL14" s="750"/>
      <c r="AM14" s="749"/>
      <c r="AN14" s="749"/>
      <c r="AO14" s="749"/>
      <c r="AP14" s="749"/>
      <c r="AQ14" s="749"/>
      <c r="AR14" s="749"/>
    </row>
    <row r="15" spans="1:44" s="751" customFormat="1" x14ac:dyDescent="0.35">
      <c r="A15" s="746"/>
      <c r="B15" s="356"/>
      <c r="C15" s="356"/>
      <c r="D15" s="356"/>
      <c r="E15" s="356"/>
      <c r="F15" s="356"/>
      <c r="G15" s="356"/>
      <c r="H15" s="356"/>
      <c r="I15" s="749"/>
      <c r="J15" s="749"/>
      <c r="K15" s="749"/>
      <c r="L15" s="749"/>
      <c r="M15" s="749"/>
      <c r="N15" s="749"/>
      <c r="O15" s="749"/>
      <c r="P15" s="749"/>
      <c r="Q15" s="749"/>
      <c r="R15" s="749"/>
      <c r="S15" s="749"/>
      <c r="T15" s="749"/>
      <c r="U15" s="749"/>
      <c r="V15" s="749"/>
      <c r="W15" s="749"/>
      <c r="X15" s="749"/>
      <c r="Y15" s="749"/>
      <c r="Z15" s="749"/>
      <c r="AA15" s="749"/>
      <c r="AB15" s="749"/>
      <c r="AC15" s="749"/>
      <c r="AD15" s="749"/>
      <c r="AE15" s="749"/>
      <c r="AF15" s="749"/>
      <c r="AG15" s="749"/>
      <c r="AH15" s="749"/>
      <c r="AI15" s="749"/>
      <c r="AJ15" s="749"/>
      <c r="AK15" s="749"/>
      <c r="AL15" s="750"/>
      <c r="AM15" s="749"/>
      <c r="AN15" s="749"/>
      <c r="AO15" s="749"/>
      <c r="AP15" s="749"/>
      <c r="AQ15" s="749"/>
      <c r="AR15" s="749"/>
    </row>
    <row r="16" spans="1:44" x14ac:dyDescent="0.35">
      <c r="A16" s="746"/>
      <c r="B16" s="351"/>
      <c r="C16" s="351"/>
      <c r="D16" s="351"/>
      <c r="E16" s="351"/>
      <c r="F16" s="351"/>
      <c r="G16" s="351"/>
      <c r="H16" s="351"/>
      <c r="I16" s="746"/>
      <c r="J16" s="746"/>
      <c r="K16" s="746"/>
      <c r="L16" s="746"/>
      <c r="M16" s="746"/>
      <c r="N16" s="746"/>
      <c r="O16" s="746"/>
      <c r="P16" s="746"/>
      <c r="Q16" s="746"/>
      <c r="R16" s="746"/>
      <c r="S16" s="746"/>
      <c r="T16" s="746"/>
      <c r="U16" s="746"/>
      <c r="V16" s="746"/>
      <c r="W16" s="746"/>
      <c r="X16" s="746"/>
      <c r="Y16" s="746"/>
      <c r="Z16" s="746"/>
      <c r="AA16" s="746"/>
      <c r="AB16" s="746"/>
      <c r="AC16" s="746"/>
      <c r="AD16" s="746"/>
      <c r="AE16" s="746"/>
      <c r="AF16" s="746"/>
      <c r="AG16" s="746"/>
      <c r="AH16" s="746"/>
      <c r="AI16" s="746"/>
      <c r="AJ16" s="746"/>
      <c r="AK16" s="746"/>
      <c r="AL16" s="746"/>
      <c r="AM16" s="746"/>
      <c r="AN16" s="746"/>
      <c r="AO16" s="746"/>
      <c r="AP16" s="746"/>
      <c r="AQ16" s="746"/>
      <c r="AR16" s="746"/>
    </row>
    <row r="17" spans="1:44" s="754" customFormat="1" x14ac:dyDescent="0.35">
      <c r="A17" s="746"/>
      <c r="B17" s="359"/>
      <c r="C17" s="359"/>
      <c r="D17" s="359"/>
      <c r="E17" s="360"/>
      <c r="F17" s="360"/>
      <c r="G17" s="360"/>
      <c r="H17" s="357"/>
      <c r="I17" s="750"/>
      <c r="J17" s="750"/>
      <c r="K17" s="750"/>
      <c r="L17" s="752"/>
      <c r="M17" s="752"/>
      <c r="N17" s="750"/>
      <c r="O17" s="750"/>
      <c r="P17" s="750"/>
      <c r="Q17" s="752"/>
      <c r="R17" s="750"/>
      <c r="S17" s="750"/>
      <c r="T17" s="753"/>
      <c r="U17" s="750"/>
      <c r="V17" s="750"/>
      <c r="W17" s="750"/>
      <c r="X17" s="750"/>
      <c r="Y17" s="752"/>
      <c r="Z17" s="752"/>
      <c r="AA17" s="750"/>
      <c r="AB17" s="750"/>
      <c r="AC17" s="750"/>
      <c r="AD17" s="750"/>
      <c r="AE17" s="750"/>
      <c r="AF17" s="750"/>
      <c r="AG17" s="750"/>
      <c r="AH17" s="750"/>
      <c r="AI17" s="750"/>
      <c r="AJ17" s="750"/>
      <c r="AK17" s="750"/>
      <c r="AL17" s="746"/>
      <c r="AM17" s="746"/>
      <c r="AN17" s="746"/>
      <c r="AO17" s="746"/>
      <c r="AP17" s="746"/>
      <c r="AQ17" s="746"/>
      <c r="AR17" s="746"/>
    </row>
    <row r="18" spans="1:44" s="754" customFormat="1" ht="21" x14ac:dyDescent="0.35">
      <c r="A18" s="746"/>
      <c r="B18" s="362"/>
      <c r="C18" s="362"/>
      <c r="D18" s="362"/>
      <c r="E18" s="362"/>
      <c r="F18" s="362"/>
      <c r="G18" s="362"/>
      <c r="H18" s="362"/>
      <c r="I18" s="755"/>
      <c r="J18" s="755"/>
      <c r="K18" s="755"/>
      <c r="L18" s="755"/>
      <c r="M18" s="755"/>
      <c r="N18" s="755"/>
      <c r="O18" s="755"/>
      <c r="P18" s="755"/>
      <c r="Q18" s="755"/>
      <c r="R18" s="755"/>
      <c r="S18" s="755"/>
      <c r="T18" s="755"/>
      <c r="U18" s="755"/>
      <c r="V18" s="755"/>
      <c r="W18" s="755"/>
      <c r="X18" s="755"/>
      <c r="Y18" s="755"/>
      <c r="Z18" s="755"/>
      <c r="AA18" s="755"/>
      <c r="AB18" s="755"/>
      <c r="AC18" s="755"/>
      <c r="AD18" s="755"/>
      <c r="AE18" s="755"/>
      <c r="AF18" s="755"/>
      <c r="AG18" s="755"/>
      <c r="AH18" s="755"/>
      <c r="AI18" s="755"/>
      <c r="AJ18" s="755"/>
      <c r="AK18" s="755"/>
      <c r="AL18" s="755"/>
      <c r="AM18" s="755"/>
      <c r="AN18" s="756"/>
      <c r="AO18" s="746"/>
      <c r="AP18" s="746"/>
      <c r="AQ18" s="746"/>
      <c r="AR18" s="746"/>
    </row>
    <row r="19" spans="1:44" s="754" customFormat="1" x14ac:dyDescent="0.35">
      <c r="A19" s="746"/>
      <c r="B19" s="351"/>
      <c r="C19" s="351"/>
      <c r="D19" s="351"/>
      <c r="E19" s="351"/>
      <c r="F19" s="351"/>
      <c r="G19" s="351"/>
      <c r="H19" s="351"/>
      <c r="I19" s="746"/>
      <c r="J19" s="746"/>
      <c r="K19" s="746"/>
      <c r="L19" s="746"/>
      <c r="M19" s="746"/>
      <c r="N19" s="746"/>
      <c r="O19" s="746"/>
      <c r="P19" s="746"/>
      <c r="Q19" s="757"/>
      <c r="R19" s="750"/>
      <c r="S19" s="750"/>
      <c r="T19" s="753"/>
      <c r="U19" s="750"/>
      <c r="V19" s="746"/>
      <c r="W19" s="746"/>
      <c r="X19" s="746"/>
      <c r="Y19" s="746"/>
      <c r="Z19" s="746"/>
      <c r="AA19" s="746"/>
      <c r="AB19" s="746"/>
      <c r="AC19" s="746"/>
      <c r="AD19" s="746"/>
      <c r="AE19" s="746"/>
      <c r="AF19" s="746"/>
      <c r="AG19" s="746"/>
      <c r="AH19" s="746"/>
      <c r="AI19" s="746"/>
      <c r="AJ19" s="746"/>
      <c r="AK19" s="746"/>
      <c r="AL19" s="746"/>
      <c r="AM19" s="746"/>
      <c r="AN19" s="746"/>
      <c r="AO19" s="746"/>
      <c r="AP19" s="746"/>
      <c r="AQ19" s="746"/>
      <c r="AR19" s="746"/>
    </row>
    <row r="20" spans="1:44" s="754" customFormat="1" x14ac:dyDescent="0.35">
      <c r="A20" s="746"/>
      <c r="B20" s="363"/>
      <c r="C20" s="363"/>
      <c r="D20" s="363"/>
      <c r="E20" s="360"/>
      <c r="F20" s="360"/>
      <c r="G20" s="360"/>
      <c r="H20" s="364"/>
      <c r="I20" s="758"/>
      <c r="J20" s="758"/>
      <c r="K20" s="758"/>
      <c r="L20" s="758"/>
      <c r="M20" s="758"/>
      <c r="N20" s="758"/>
      <c r="O20" s="759"/>
      <c r="P20" s="746"/>
      <c r="Q20" s="760"/>
      <c r="R20" s="760"/>
      <c r="S20" s="760"/>
      <c r="T20" s="761"/>
      <c r="U20" s="762"/>
      <c r="V20" s="746"/>
      <c r="W20" s="746"/>
      <c r="X20" s="746"/>
      <c r="Y20" s="746"/>
      <c r="Z20" s="746"/>
      <c r="AA20" s="758"/>
      <c r="AB20" s="758"/>
      <c r="AC20" s="758"/>
      <c r="AD20" s="758"/>
      <c r="AE20" s="758"/>
      <c r="AF20" s="763"/>
      <c r="AG20" s="763"/>
      <c r="AH20" s="746"/>
      <c r="AI20" s="746"/>
      <c r="AJ20" s="746"/>
      <c r="AK20" s="746"/>
      <c r="AL20" s="746"/>
      <c r="AM20" s="746"/>
      <c r="AN20" s="746"/>
      <c r="AO20" s="746"/>
      <c r="AP20" s="746"/>
      <c r="AQ20" s="746"/>
      <c r="AR20" s="746"/>
    </row>
    <row r="21" spans="1:44" s="754" customFormat="1" x14ac:dyDescent="0.35">
      <c r="A21" s="746"/>
      <c r="B21" s="365"/>
      <c r="C21" s="365"/>
      <c r="D21" s="365"/>
      <c r="E21" s="366"/>
      <c r="F21" s="366"/>
      <c r="G21" s="366"/>
      <c r="H21" s="367"/>
      <c r="I21" s="764"/>
      <c r="J21" s="764"/>
      <c r="K21" s="764"/>
      <c r="L21" s="765"/>
      <c r="M21" s="765"/>
      <c r="N21" s="765"/>
      <c r="O21" s="752"/>
      <c r="P21" s="762"/>
      <c r="Q21" s="764"/>
      <c r="R21" s="766"/>
      <c r="S21" s="764"/>
      <c r="T21" s="767"/>
      <c r="U21" s="768"/>
      <c r="V21" s="758"/>
      <c r="W21" s="758"/>
      <c r="X21" s="758"/>
      <c r="Y21" s="758"/>
      <c r="Z21" s="762"/>
      <c r="AA21" s="746"/>
      <c r="AB21" s="746"/>
      <c r="AC21" s="746"/>
      <c r="AD21" s="746"/>
      <c r="AE21" s="746"/>
      <c r="AF21" s="746"/>
      <c r="AG21" s="746"/>
      <c r="AH21" s="763"/>
      <c r="AI21" s="763"/>
      <c r="AJ21" s="763"/>
      <c r="AK21" s="763"/>
      <c r="AL21" s="763"/>
      <c r="AM21" s="763"/>
      <c r="AN21" s="746"/>
      <c r="AO21" s="746"/>
      <c r="AP21" s="746"/>
      <c r="AQ21" s="746"/>
      <c r="AR21" s="746"/>
    </row>
    <row r="22" spans="1:44" s="754" customFormat="1" x14ac:dyDescent="0.35">
      <c r="A22" s="746"/>
      <c r="B22" s="368"/>
      <c r="C22" s="368"/>
      <c r="D22" s="368"/>
      <c r="E22" s="369"/>
      <c r="F22" s="369"/>
      <c r="G22" s="369"/>
      <c r="H22" s="351"/>
      <c r="I22" s="746"/>
      <c r="J22" s="746"/>
      <c r="K22" s="764"/>
      <c r="L22" s="769"/>
      <c r="M22" s="769"/>
      <c r="N22" s="769"/>
      <c r="O22" s="770"/>
      <c r="P22" s="770"/>
      <c r="Q22" s="764"/>
      <c r="R22" s="766"/>
      <c r="S22" s="764"/>
      <c r="T22" s="767"/>
      <c r="U22" s="767"/>
      <c r="V22" s="766"/>
      <c r="W22" s="766"/>
      <c r="X22" s="766"/>
      <c r="Y22" s="771"/>
      <c r="Z22" s="771"/>
      <c r="AA22" s="746"/>
      <c r="AB22" s="746"/>
      <c r="AC22" s="746"/>
      <c r="AD22" s="746"/>
      <c r="AE22" s="746"/>
      <c r="AF22" s="746"/>
      <c r="AG22" s="746"/>
      <c r="AH22" s="772"/>
      <c r="AI22" s="766"/>
      <c r="AJ22" s="772"/>
      <c r="AK22" s="766"/>
      <c r="AL22" s="772"/>
      <c r="AM22" s="766"/>
      <c r="AN22" s="746"/>
      <c r="AO22" s="746"/>
      <c r="AP22" s="746"/>
      <c r="AQ22" s="746"/>
      <c r="AR22" s="746"/>
    </row>
    <row r="23" spans="1:44" s="754" customFormat="1" x14ac:dyDescent="0.35">
      <c r="A23" s="746"/>
      <c r="B23" s="370"/>
      <c r="C23" s="370"/>
      <c r="D23" s="370"/>
      <c r="E23" s="369"/>
      <c r="F23" s="369"/>
      <c r="G23" s="369"/>
      <c r="H23" s="351"/>
      <c r="I23" s="746"/>
      <c r="J23" s="746"/>
      <c r="K23" s="764"/>
      <c r="L23" s="769"/>
      <c r="M23" s="769"/>
      <c r="N23" s="769"/>
      <c r="O23" s="773"/>
      <c r="P23" s="773"/>
      <c r="Q23" s="764"/>
      <c r="R23" s="766"/>
      <c r="S23" s="764"/>
      <c r="T23" s="772"/>
      <c r="U23" s="767"/>
      <c r="V23" s="769"/>
      <c r="W23" s="769"/>
      <c r="X23" s="769"/>
      <c r="Y23" s="774"/>
      <c r="Z23" s="774"/>
      <c r="AA23" s="746"/>
      <c r="AB23" s="746"/>
      <c r="AC23" s="746"/>
      <c r="AD23" s="746"/>
      <c r="AE23" s="746"/>
      <c r="AF23" s="746"/>
      <c r="AG23" s="746"/>
      <c r="AH23" s="772"/>
      <c r="AI23" s="775"/>
      <c r="AJ23" s="772"/>
      <c r="AK23" s="775"/>
      <c r="AL23" s="772"/>
      <c r="AM23" s="775"/>
      <c r="AN23" s="746"/>
      <c r="AO23" s="746"/>
      <c r="AP23" s="746"/>
      <c r="AQ23" s="746"/>
      <c r="AR23" s="746"/>
    </row>
    <row r="24" spans="1:44" s="754" customFormat="1" x14ac:dyDescent="0.35">
      <c r="A24" s="746"/>
      <c r="B24" s="370"/>
      <c r="C24" s="370"/>
      <c r="D24" s="370"/>
      <c r="E24" s="369"/>
      <c r="F24" s="369"/>
      <c r="G24" s="369"/>
      <c r="H24" s="351"/>
      <c r="I24" s="746"/>
      <c r="J24" s="746"/>
      <c r="K24" s="764"/>
      <c r="L24" s="769"/>
      <c r="M24" s="769"/>
      <c r="N24" s="769"/>
      <c r="O24" s="773"/>
      <c r="P24" s="773"/>
      <c r="Q24" s="764"/>
      <c r="R24" s="766"/>
      <c r="S24" s="764"/>
      <c r="T24" s="776"/>
      <c r="U24" s="767"/>
      <c r="V24" s="769"/>
      <c r="W24" s="769"/>
      <c r="X24" s="769"/>
      <c r="Y24" s="774"/>
      <c r="Z24" s="774"/>
      <c r="AA24" s="746"/>
      <c r="AB24" s="746"/>
      <c r="AC24" s="746"/>
      <c r="AD24" s="746"/>
      <c r="AE24" s="746"/>
      <c r="AF24" s="746"/>
      <c r="AG24" s="746"/>
      <c r="AH24" s="772"/>
      <c r="AI24" s="775"/>
      <c r="AJ24" s="772"/>
      <c r="AK24" s="775"/>
      <c r="AL24" s="772"/>
      <c r="AM24" s="775"/>
      <c r="AN24" s="746"/>
      <c r="AO24" s="746"/>
      <c r="AP24" s="746"/>
      <c r="AQ24" s="746"/>
      <c r="AR24" s="746"/>
    </row>
    <row r="25" spans="1:44" s="754" customFormat="1" x14ac:dyDescent="0.35">
      <c r="A25" s="746"/>
      <c r="B25" s="363"/>
      <c r="C25" s="363"/>
      <c r="D25" s="363"/>
      <c r="E25" s="369"/>
      <c r="F25" s="369"/>
      <c r="G25" s="369"/>
      <c r="H25" s="351"/>
      <c r="I25" s="746"/>
      <c r="J25" s="746"/>
      <c r="K25" s="764"/>
      <c r="L25" s="769"/>
      <c r="M25" s="769"/>
      <c r="N25" s="769"/>
      <c r="O25" s="773"/>
      <c r="P25" s="773"/>
      <c r="Q25" s="768"/>
      <c r="R25" s="777"/>
      <c r="S25" s="752"/>
      <c r="T25" s="776"/>
      <c r="U25" s="767"/>
      <c r="V25" s="769"/>
      <c r="W25" s="769"/>
      <c r="X25" s="769"/>
      <c r="Y25" s="774"/>
      <c r="Z25" s="774"/>
      <c r="AA25" s="746"/>
      <c r="AB25" s="746"/>
      <c r="AC25" s="746"/>
      <c r="AD25" s="746"/>
      <c r="AE25" s="746"/>
      <c r="AF25" s="746"/>
      <c r="AG25" s="746"/>
      <c r="AH25" s="772"/>
      <c r="AI25" s="775"/>
      <c r="AJ25" s="772"/>
      <c r="AK25" s="775"/>
      <c r="AL25" s="772"/>
      <c r="AM25" s="775"/>
      <c r="AN25" s="746"/>
      <c r="AO25" s="746"/>
      <c r="AP25" s="746"/>
      <c r="AQ25" s="746"/>
      <c r="AR25" s="746"/>
    </row>
    <row r="26" spans="1:44" s="754" customFormat="1" x14ac:dyDescent="0.35">
      <c r="A26" s="746"/>
      <c r="B26" s="351"/>
      <c r="C26" s="351"/>
      <c r="D26" s="351"/>
      <c r="E26" s="351"/>
      <c r="F26" s="351"/>
      <c r="G26" s="351"/>
      <c r="H26" s="357"/>
      <c r="I26" s="750"/>
      <c r="J26" s="750"/>
      <c r="K26" s="750"/>
      <c r="L26" s="752"/>
      <c r="M26" s="752"/>
      <c r="N26" s="750"/>
      <c r="O26" s="750"/>
      <c r="P26" s="750"/>
      <c r="Q26" s="760"/>
      <c r="R26" s="760"/>
      <c r="S26" s="760"/>
      <c r="T26" s="753"/>
      <c r="U26" s="750"/>
      <c r="V26" s="750"/>
      <c r="W26" s="750"/>
      <c r="X26" s="750"/>
      <c r="Y26" s="752"/>
      <c r="Z26" s="752"/>
      <c r="AA26" s="750"/>
      <c r="AB26" s="750"/>
      <c r="AC26" s="750"/>
      <c r="AD26" s="750"/>
      <c r="AE26" s="750"/>
      <c r="AF26" s="750"/>
      <c r="AG26" s="746"/>
      <c r="AH26" s="746"/>
      <c r="AI26" s="746"/>
      <c r="AJ26" s="746"/>
      <c r="AK26" s="746"/>
      <c r="AL26" s="746"/>
      <c r="AM26" s="746"/>
      <c r="AN26" s="746"/>
      <c r="AO26" s="746"/>
      <c r="AP26" s="746"/>
      <c r="AQ26" s="746"/>
      <c r="AR26" s="746"/>
    </row>
    <row r="27" spans="1:44" s="754" customFormat="1" x14ac:dyDescent="0.35">
      <c r="A27" s="746"/>
      <c r="B27" s="351"/>
      <c r="C27" s="351"/>
      <c r="D27" s="351"/>
      <c r="E27" s="351"/>
      <c r="F27" s="351"/>
      <c r="G27" s="351"/>
      <c r="H27" s="357"/>
      <c r="I27" s="750"/>
      <c r="J27" s="750"/>
      <c r="K27" s="746"/>
      <c r="L27" s="746"/>
      <c r="M27" s="746"/>
      <c r="N27" s="750"/>
      <c r="O27" s="750"/>
      <c r="P27" s="750"/>
      <c r="Q27" s="776"/>
      <c r="R27" s="750"/>
      <c r="S27" s="767"/>
      <c r="T27" s="753"/>
      <c r="U27" s="750"/>
      <c r="V27" s="750"/>
      <c r="W27" s="750"/>
      <c r="X27" s="750"/>
      <c r="Y27" s="752"/>
      <c r="Z27" s="752"/>
      <c r="AA27" s="750"/>
      <c r="AB27" s="750"/>
      <c r="AC27" s="750"/>
      <c r="AD27" s="750"/>
      <c r="AE27" s="750"/>
      <c r="AF27" s="750"/>
      <c r="AG27" s="746"/>
      <c r="AH27" s="746"/>
      <c r="AI27" s="746"/>
      <c r="AJ27" s="746"/>
      <c r="AK27" s="746"/>
      <c r="AL27" s="746"/>
      <c r="AM27" s="746"/>
      <c r="AN27" s="746"/>
      <c r="AO27" s="746"/>
      <c r="AP27" s="746"/>
      <c r="AQ27" s="746"/>
      <c r="AR27" s="746"/>
    </row>
    <row r="28" spans="1:44" x14ac:dyDescent="0.35">
      <c r="A28" s="746"/>
      <c r="B28" s="351"/>
      <c r="C28" s="351"/>
      <c r="D28" s="351"/>
      <c r="E28" s="351"/>
      <c r="F28" s="351"/>
      <c r="G28" s="351"/>
      <c r="H28" s="356"/>
      <c r="I28" s="749"/>
      <c r="J28" s="749"/>
      <c r="K28" s="750"/>
      <c r="L28" s="752"/>
      <c r="M28" s="752"/>
      <c r="N28" s="746"/>
      <c r="O28" s="749"/>
      <c r="P28" s="746"/>
      <c r="Q28" s="778"/>
      <c r="R28" s="766"/>
      <c r="S28" s="778"/>
      <c r="T28" s="746"/>
      <c r="U28" s="746"/>
      <c r="V28" s="746"/>
      <c r="W28" s="746"/>
      <c r="X28" s="746"/>
      <c r="Y28" s="746"/>
      <c r="Z28" s="746"/>
      <c r="AA28" s="746"/>
      <c r="AB28" s="746"/>
      <c r="AC28" s="746"/>
      <c r="AD28" s="746"/>
      <c r="AE28" s="746"/>
      <c r="AF28" s="749"/>
      <c r="AG28" s="746"/>
      <c r="AH28" s="746"/>
      <c r="AI28" s="746"/>
      <c r="AJ28" s="746"/>
      <c r="AK28" s="746"/>
      <c r="AL28" s="746"/>
      <c r="AM28" s="746"/>
      <c r="AN28" s="746"/>
      <c r="AO28" s="746"/>
      <c r="AP28" s="746"/>
      <c r="AQ28" s="746"/>
      <c r="AR28" s="749"/>
    </row>
    <row r="29" spans="1:44" ht="21" x14ac:dyDescent="0.35">
      <c r="A29" s="787"/>
      <c r="B29" s="362"/>
      <c r="C29" s="362"/>
      <c r="D29" s="362"/>
      <c r="E29" s="362"/>
      <c r="F29" s="362"/>
      <c r="G29" s="362"/>
      <c r="H29" s="356"/>
      <c r="I29" s="749"/>
      <c r="J29" s="749"/>
      <c r="K29" s="779"/>
      <c r="L29" s="780"/>
      <c r="M29" s="780"/>
      <c r="N29" s="781"/>
      <c r="O29" s="749"/>
      <c r="P29" s="746"/>
      <c r="Q29" s="778"/>
      <c r="R29" s="766"/>
      <c r="S29" s="778"/>
      <c r="T29" s="746"/>
      <c r="U29" s="746"/>
      <c r="V29" s="746"/>
      <c r="W29" s="746"/>
      <c r="X29" s="746"/>
      <c r="Y29" s="746"/>
      <c r="Z29" s="746"/>
      <c r="AA29" s="746"/>
      <c r="AB29" s="746"/>
      <c r="AC29" s="746"/>
      <c r="AD29" s="746"/>
      <c r="AE29" s="746"/>
      <c r="AF29" s="746"/>
      <c r="AG29" s="746"/>
      <c r="AH29" s="746"/>
      <c r="AI29" s="746"/>
      <c r="AJ29" s="746"/>
      <c r="AK29" s="746"/>
      <c r="AL29" s="746"/>
      <c r="AM29" s="746"/>
      <c r="AN29" s="746"/>
      <c r="AO29" s="746"/>
      <c r="AP29" s="746"/>
      <c r="AQ29" s="746"/>
      <c r="AR29" s="746"/>
    </row>
    <row r="30" spans="1:44" ht="21" x14ac:dyDescent="0.35">
      <c r="A30" s="787"/>
      <c r="B30" s="371"/>
      <c r="C30" s="371"/>
      <c r="D30" s="371"/>
      <c r="E30" s="372"/>
      <c r="F30" s="372"/>
      <c r="G30" s="372"/>
      <c r="H30" s="373"/>
      <c r="I30" s="782"/>
      <c r="J30" s="782"/>
      <c r="K30" s="783"/>
      <c r="L30" s="780"/>
      <c r="M30" s="780"/>
      <c r="N30" s="746"/>
      <c r="O30" s="746"/>
      <c r="P30" s="746"/>
      <c r="Q30" s="778"/>
      <c r="R30" s="766"/>
      <c r="S30" s="778"/>
      <c r="T30" s="746"/>
      <c r="U30" s="746"/>
      <c r="V30" s="746"/>
      <c r="W30" s="746"/>
      <c r="X30" s="746"/>
      <c r="Y30" s="746"/>
      <c r="Z30" s="746"/>
      <c r="AA30" s="746"/>
      <c r="AB30" s="746"/>
      <c r="AC30" s="746"/>
      <c r="AD30" s="746"/>
      <c r="AE30" s="746"/>
      <c r="AF30" s="746"/>
      <c r="AG30" s="746"/>
      <c r="AH30" s="746"/>
      <c r="AI30" s="746"/>
      <c r="AJ30" s="746"/>
      <c r="AK30" s="746"/>
      <c r="AL30" s="746"/>
      <c r="AM30" s="746"/>
      <c r="AN30" s="746"/>
      <c r="AO30" s="746"/>
      <c r="AP30" s="746"/>
      <c r="AQ30" s="746"/>
      <c r="AR30" s="746"/>
    </row>
    <row r="31" spans="1:44" s="788" customFormat="1" x14ac:dyDescent="0.35">
      <c r="A31" s="746"/>
      <c r="B31" s="365"/>
      <c r="C31" s="365"/>
      <c r="D31" s="365"/>
      <c r="E31" s="374"/>
      <c r="F31" s="374"/>
      <c r="G31" s="374"/>
      <c r="H31" s="375"/>
      <c r="I31" s="784"/>
      <c r="J31" s="784"/>
      <c r="K31" s="785"/>
      <c r="L31" s="785"/>
      <c r="M31" s="785"/>
      <c r="N31" s="785"/>
      <c r="O31" s="785"/>
      <c r="P31" s="785"/>
      <c r="Q31" s="786"/>
      <c r="R31" s="766"/>
      <c r="S31" s="764"/>
      <c r="T31" s="787"/>
      <c r="U31" s="787"/>
      <c r="V31" s="746"/>
      <c r="W31" s="746"/>
      <c r="X31" s="746"/>
      <c r="Y31" s="746"/>
      <c r="Z31" s="746"/>
      <c r="AA31" s="787"/>
      <c r="AB31" s="787"/>
      <c r="AC31" s="787"/>
      <c r="AD31" s="787"/>
      <c r="AE31" s="787"/>
      <c r="AF31" s="787"/>
      <c r="AG31" s="787"/>
      <c r="AH31" s="787"/>
      <c r="AI31" s="787"/>
      <c r="AJ31" s="787"/>
      <c r="AK31" s="787"/>
      <c r="AL31" s="787"/>
      <c r="AM31" s="787"/>
      <c r="AN31" s="787"/>
      <c r="AO31" s="787"/>
      <c r="AP31" s="787"/>
      <c r="AQ31" s="787"/>
      <c r="AR31" s="787"/>
    </row>
    <row r="32" spans="1:44" s="788" customFormat="1" x14ac:dyDescent="0.35">
      <c r="A32" s="746"/>
      <c r="B32" s="367"/>
      <c r="C32" s="367"/>
      <c r="D32" s="367"/>
      <c r="E32" s="377"/>
      <c r="F32" s="377"/>
      <c r="G32" s="377"/>
      <c r="H32" s="375"/>
      <c r="I32" s="784"/>
      <c r="J32" s="784"/>
      <c r="K32" s="783"/>
      <c r="L32" s="780"/>
      <c r="M32" s="780"/>
      <c r="N32" s="785"/>
      <c r="O32" s="785"/>
      <c r="P32" s="785"/>
      <c r="Q32" s="785"/>
      <c r="R32" s="785"/>
      <c r="S32" s="764"/>
      <c r="T32" s="787"/>
      <c r="U32" s="787"/>
      <c r="V32" s="746"/>
      <c r="W32" s="746"/>
      <c r="X32" s="746"/>
      <c r="Y32" s="746"/>
      <c r="Z32" s="746"/>
      <c r="AA32" s="787"/>
      <c r="AB32" s="787"/>
      <c r="AC32" s="787"/>
      <c r="AD32" s="787"/>
      <c r="AE32" s="787"/>
      <c r="AF32" s="787"/>
      <c r="AG32" s="787"/>
      <c r="AH32" s="787"/>
      <c r="AI32" s="787"/>
      <c r="AJ32" s="787"/>
      <c r="AK32" s="787"/>
      <c r="AL32" s="787"/>
      <c r="AM32" s="787"/>
      <c r="AN32" s="787"/>
      <c r="AO32" s="787"/>
      <c r="AP32" s="787"/>
      <c r="AQ32" s="787"/>
      <c r="AR32" s="787"/>
    </row>
    <row r="33" spans="1:44" ht="15.5" x14ac:dyDescent="0.35">
      <c r="A33" s="746"/>
      <c r="B33" s="378"/>
      <c r="C33" s="378"/>
      <c r="D33" s="378"/>
      <c r="E33" s="379"/>
      <c r="F33" s="379"/>
      <c r="G33" s="379"/>
      <c r="H33" s="380"/>
      <c r="I33" s="789"/>
      <c r="J33" s="789"/>
      <c r="K33" s="764"/>
      <c r="L33" s="764"/>
      <c r="M33" s="764"/>
      <c r="N33" s="764"/>
      <c r="O33" s="764"/>
      <c r="P33" s="764"/>
      <c r="Q33" s="790"/>
      <c r="R33" s="764"/>
      <c r="S33" s="764"/>
      <c r="T33" s="746"/>
      <c r="U33" s="746"/>
      <c r="V33" s="746"/>
      <c r="W33" s="746"/>
      <c r="X33" s="746"/>
      <c r="Y33" s="746"/>
      <c r="Z33" s="746"/>
      <c r="AA33" s="746"/>
      <c r="AB33" s="746"/>
      <c r="AC33" s="746"/>
      <c r="AD33" s="746"/>
      <c r="AE33" s="746"/>
      <c r="AF33" s="746"/>
      <c r="AG33" s="746"/>
      <c r="AH33" s="746"/>
      <c r="AI33" s="746"/>
      <c r="AJ33" s="746"/>
      <c r="AK33" s="746"/>
      <c r="AL33" s="746"/>
      <c r="AM33" s="746"/>
      <c r="AN33" s="746"/>
      <c r="AO33" s="746"/>
      <c r="AP33" s="746"/>
      <c r="AQ33" s="746"/>
      <c r="AR33" s="746"/>
    </row>
    <row r="34" spans="1:44" ht="15.5" x14ac:dyDescent="0.35">
      <c r="A34" s="746"/>
      <c r="B34" s="381"/>
      <c r="C34" s="381"/>
      <c r="D34" s="381"/>
      <c r="E34" s="379"/>
      <c r="F34" s="379"/>
      <c r="G34" s="379"/>
      <c r="H34" s="380"/>
      <c r="I34" s="789"/>
      <c r="J34" s="789"/>
      <c r="K34" s="764"/>
      <c r="L34" s="764"/>
      <c r="M34" s="764"/>
      <c r="N34" s="764"/>
      <c r="O34" s="764"/>
      <c r="P34" s="764"/>
      <c r="Q34" s="791"/>
      <c r="R34" s="764"/>
      <c r="S34" s="764"/>
      <c r="T34" s="746"/>
      <c r="U34" s="746"/>
      <c r="V34" s="746"/>
      <c r="W34" s="746"/>
      <c r="X34" s="746"/>
      <c r="Y34" s="746"/>
      <c r="Z34" s="746"/>
      <c r="AA34" s="746"/>
      <c r="AB34" s="746"/>
      <c r="AC34" s="746"/>
      <c r="AD34" s="746"/>
      <c r="AE34" s="746"/>
      <c r="AF34" s="746"/>
      <c r="AG34" s="768"/>
      <c r="AH34" s="746"/>
      <c r="AI34" s="746"/>
      <c r="AJ34" s="792"/>
      <c r="AK34" s="746"/>
      <c r="AL34" s="746"/>
      <c r="AM34" s="746"/>
      <c r="AN34" s="746"/>
      <c r="AO34" s="746"/>
      <c r="AP34" s="746"/>
      <c r="AQ34" s="746"/>
      <c r="AR34" s="746"/>
    </row>
    <row r="35" spans="1:44" ht="15.5" x14ac:dyDescent="0.35">
      <c r="A35" s="749"/>
      <c r="B35" s="378"/>
      <c r="C35" s="378"/>
      <c r="D35" s="378"/>
      <c r="E35" s="379"/>
      <c r="F35" s="379"/>
      <c r="G35" s="379"/>
      <c r="H35" s="382"/>
      <c r="I35" s="793"/>
      <c r="J35" s="793"/>
      <c r="K35" s="749"/>
      <c r="L35" s="746"/>
      <c r="M35" s="746"/>
      <c r="N35" s="764"/>
      <c r="O35" s="764"/>
      <c r="P35" s="764"/>
      <c r="Q35" s="791"/>
      <c r="R35" s="764"/>
      <c r="S35" s="764"/>
      <c r="T35" s="746"/>
      <c r="U35" s="746"/>
      <c r="V35" s="746"/>
      <c r="W35" s="746"/>
      <c r="X35" s="746"/>
      <c r="Y35" s="746"/>
      <c r="Z35" s="746"/>
      <c r="AA35" s="746"/>
      <c r="AB35" s="746"/>
      <c r="AC35" s="746"/>
      <c r="AD35" s="746"/>
      <c r="AE35" s="746"/>
      <c r="AF35" s="746"/>
      <c r="AG35" s="746"/>
      <c r="AH35" s="746"/>
      <c r="AI35" s="746"/>
      <c r="AJ35" s="794"/>
      <c r="AK35" s="746"/>
      <c r="AL35" s="746"/>
      <c r="AM35" s="746"/>
      <c r="AN35" s="746"/>
      <c r="AO35" s="746"/>
      <c r="AP35" s="746"/>
      <c r="AQ35" s="746"/>
      <c r="AR35" s="746"/>
    </row>
    <row r="36" spans="1:44" ht="15.5" x14ac:dyDescent="0.35">
      <c r="A36" s="746"/>
      <c r="B36" s="383"/>
      <c r="C36" s="383"/>
      <c r="D36" s="383"/>
      <c r="E36" s="384"/>
      <c r="F36" s="384"/>
      <c r="G36" s="384"/>
      <c r="H36" s="385"/>
      <c r="I36" s="795"/>
      <c r="J36" s="795"/>
      <c r="K36" s="792"/>
      <c r="L36" s="780"/>
      <c r="M36" s="780"/>
      <c r="N36" s="764"/>
      <c r="O36" s="764"/>
      <c r="P36" s="764"/>
      <c r="Q36" s="791"/>
      <c r="R36" s="764"/>
      <c r="S36" s="764"/>
      <c r="T36" s="746"/>
      <c r="U36" s="746"/>
      <c r="V36" s="749"/>
      <c r="W36" s="749"/>
      <c r="X36" s="749"/>
      <c r="Y36" s="749"/>
      <c r="Z36" s="749"/>
      <c r="AA36" s="746"/>
      <c r="AB36" s="746"/>
      <c r="AC36" s="746"/>
      <c r="AD36" s="746"/>
      <c r="AE36" s="746"/>
      <c r="AF36" s="746"/>
      <c r="AG36" s="746"/>
      <c r="AH36" s="746"/>
      <c r="AI36" s="746"/>
      <c r="AJ36" s="746"/>
      <c r="AK36" s="746"/>
      <c r="AL36" s="746"/>
      <c r="AM36" s="746"/>
      <c r="AN36" s="746"/>
      <c r="AO36" s="746"/>
      <c r="AP36" s="746"/>
      <c r="AQ36" s="746"/>
      <c r="AR36" s="746"/>
    </row>
    <row r="37" spans="1:44" s="751" customFormat="1" ht="15.5" x14ac:dyDescent="0.35">
      <c r="A37" s="746"/>
      <c r="B37" s="367"/>
      <c r="C37" s="367"/>
      <c r="D37" s="367"/>
      <c r="E37" s="386"/>
      <c r="F37" s="386"/>
      <c r="G37" s="386"/>
      <c r="H37" s="385"/>
      <c r="I37" s="795"/>
      <c r="J37" s="795"/>
      <c r="K37" s="796"/>
      <c r="L37" s="780"/>
      <c r="M37" s="780"/>
      <c r="N37" s="797"/>
      <c r="O37" s="797"/>
      <c r="P37" s="797"/>
      <c r="Q37" s="791"/>
      <c r="R37" s="797"/>
      <c r="S37" s="764"/>
      <c r="T37" s="749"/>
      <c r="U37" s="749"/>
      <c r="V37" s="746"/>
      <c r="W37" s="746"/>
      <c r="X37" s="746"/>
      <c r="Y37" s="746"/>
      <c r="Z37" s="746"/>
      <c r="AA37" s="749"/>
      <c r="AB37" s="749"/>
      <c r="AC37" s="749"/>
      <c r="AD37" s="749"/>
      <c r="AE37" s="749"/>
      <c r="AF37" s="749"/>
      <c r="AG37" s="749"/>
      <c r="AH37" s="749"/>
      <c r="AI37" s="749"/>
      <c r="AJ37" s="750"/>
      <c r="AK37" s="749"/>
      <c r="AL37" s="749"/>
      <c r="AM37" s="749"/>
      <c r="AN37" s="749"/>
      <c r="AO37" s="749"/>
      <c r="AP37" s="749"/>
      <c r="AQ37" s="749"/>
      <c r="AR37" s="749"/>
    </row>
    <row r="38" spans="1:44" ht="15.5" x14ac:dyDescent="0.35">
      <c r="A38" s="746"/>
      <c r="B38" s="383"/>
      <c r="C38" s="383"/>
      <c r="D38" s="383"/>
      <c r="E38" s="384"/>
      <c r="F38" s="384"/>
      <c r="G38" s="384"/>
      <c r="H38" s="385"/>
      <c r="I38" s="795"/>
      <c r="J38" s="795"/>
      <c r="K38" s="764"/>
      <c r="L38" s="764"/>
      <c r="M38" s="764"/>
      <c r="N38" s="764"/>
      <c r="O38" s="764"/>
      <c r="P38" s="764"/>
      <c r="Q38" s="791"/>
      <c r="R38" s="764"/>
      <c r="S38" s="764"/>
      <c r="T38" s="746"/>
      <c r="U38" s="746"/>
      <c r="V38" s="746"/>
      <c r="W38" s="746"/>
      <c r="X38" s="746"/>
      <c r="Y38" s="746"/>
      <c r="Z38" s="746"/>
      <c r="AA38" s="746"/>
      <c r="AB38" s="746"/>
      <c r="AC38" s="746"/>
      <c r="AD38" s="746"/>
      <c r="AE38" s="746"/>
      <c r="AF38" s="746"/>
      <c r="AG38" s="746"/>
      <c r="AH38" s="746"/>
      <c r="AI38" s="746"/>
      <c r="AJ38" s="746"/>
      <c r="AK38" s="746"/>
      <c r="AL38" s="746"/>
      <c r="AM38" s="746"/>
      <c r="AN38" s="746"/>
      <c r="AO38" s="746"/>
      <c r="AP38" s="746"/>
      <c r="AQ38" s="746"/>
      <c r="AR38" s="746"/>
    </row>
    <row r="39" spans="1:44" ht="15.5" x14ac:dyDescent="0.35">
      <c r="A39" s="746"/>
      <c r="B39" s="367"/>
      <c r="C39" s="367"/>
      <c r="D39" s="367"/>
      <c r="E39" s="387"/>
      <c r="F39" s="387"/>
      <c r="G39" s="387"/>
      <c r="H39" s="382"/>
      <c r="I39" s="793"/>
      <c r="J39" s="793"/>
      <c r="K39" s="764"/>
      <c r="L39" s="764"/>
      <c r="M39" s="764"/>
      <c r="N39" s="764"/>
      <c r="O39" s="764"/>
      <c r="P39" s="764"/>
      <c r="Q39" s="798"/>
      <c r="R39" s="764"/>
      <c r="S39" s="764"/>
      <c r="T39" s="746"/>
      <c r="U39" s="746"/>
      <c r="V39" s="746"/>
      <c r="W39" s="746"/>
      <c r="X39" s="746"/>
      <c r="Y39" s="746"/>
      <c r="Z39" s="746"/>
      <c r="AA39" s="746"/>
      <c r="AB39" s="746"/>
      <c r="AC39" s="746"/>
      <c r="AD39" s="746"/>
      <c r="AE39" s="746"/>
      <c r="AF39" s="746"/>
      <c r="AG39" s="746"/>
      <c r="AH39" s="746"/>
      <c r="AI39" s="746"/>
      <c r="AJ39" s="746"/>
      <c r="AK39" s="746"/>
      <c r="AL39" s="746"/>
      <c r="AM39" s="746"/>
      <c r="AN39" s="746"/>
      <c r="AO39" s="746"/>
      <c r="AP39" s="746"/>
      <c r="AQ39" s="746"/>
      <c r="AR39" s="746"/>
    </row>
    <row r="40" spans="1:44" x14ac:dyDescent="0.35">
      <c r="A40" s="746"/>
      <c r="B40" s="383"/>
      <c r="C40" s="383"/>
      <c r="D40" s="383"/>
      <c r="E40" s="388"/>
      <c r="F40" s="388"/>
      <c r="G40" s="388"/>
      <c r="H40" s="382"/>
      <c r="I40" s="793"/>
      <c r="J40" s="793"/>
      <c r="K40" s="749"/>
      <c r="L40" s="746"/>
      <c r="M40" s="746"/>
      <c r="N40" s="746"/>
      <c r="O40" s="764"/>
      <c r="P40" s="764"/>
      <c r="Q40" s="799"/>
      <c r="R40" s="764"/>
      <c r="S40" s="764"/>
      <c r="T40" s="746"/>
      <c r="U40" s="746"/>
      <c r="V40" s="746"/>
      <c r="W40" s="746"/>
      <c r="X40" s="746"/>
      <c r="Y40" s="746"/>
      <c r="Z40" s="746"/>
      <c r="AA40" s="746"/>
      <c r="AB40" s="746"/>
      <c r="AC40" s="746"/>
      <c r="AD40" s="746"/>
      <c r="AE40" s="746"/>
      <c r="AF40" s="746"/>
      <c r="AG40" s="746"/>
      <c r="AH40" s="746"/>
      <c r="AI40" s="746"/>
      <c r="AJ40" s="746"/>
      <c r="AK40" s="746"/>
      <c r="AL40" s="746"/>
      <c r="AM40" s="746"/>
      <c r="AN40" s="746"/>
      <c r="AO40" s="746"/>
      <c r="AP40" s="746"/>
      <c r="AQ40" s="746"/>
      <c r="AR40" s="746"/>
    </row>
    <row r="41" spans="1:44" x14ac:dyDescent="0.35">
      <c r="A41" s="746"/>
      <c r="B41" s="367"/>
      <c r="C41" s="367"/>
      <c r="D41" s="367"/>
      <c r="E41" s="377"/>
      <c r="F41" s="377"/>
      <c r="G41" s="377"/>
      <c r="H41" s="367"/>
      <c r="I41" s="764"/>
      <c r="J41" s="764"/>
      <c r="K41" s="764"/>
      <c r="L41" s="764"/>
      <c r="M41" s="764"/>
      <c r="N41" s="764"/>
      <c r="O41" s="764"/>
      <c r="P41" s="764"/>
      <c r="Q41" s="764"/>
      <c r="R41" s="764"/>
      <c r="S41" s="764"/>
      <c r="T41" s="746"/>
      <c r="U41" s="746"/>
      <c r="V41" s="746"/>
      <c r="W41" s="746"/>
      <c r="X41" s="746"/>
      <c r="Y41" s="746"/>
      <c r="Z41" s="746"/>
      <c r="AA41" s="746"/>
      <c r="AB41" s="746"/>
      <c r="AC41" s="746"/>
      <c r="AD41" s="746"/>
      <c r="AE41" s="746"/>
      <c r="AF41" s="746"/>
      <c r="AG41" s="746"/>
      <c r="AH41" s="746"/>
      <c r="AI41" s="746"/>
      <c r="AJ41" s="746"/>
      <c r="AK41" s="746"/>
      <c r="AL41" s="746"/>
      <c r="AM41" s="746"/>
      <c r="AN41" s="746"/>
      <c r="AO41" s="746"/>
      <c r="AP41" s="746"/>
      <c r="AQ41" s="746"/>
      <c r="AR41" s="746"/>
    </row>
    <row r="42" spans="1:44" x14ac:dyDescent="0.35">
      <c r="A42" s="746"/>
      <c r="B42" s="367"/>
      <c r="C42" s="367"/>
      <c r="D42" s="367"/>
      <c r="E42" s="379"/>
      <c r="F42" s="379"/>
      <c r="G42" s="379"/>
      <c r="H42" s="351"/>
      <c r="I42" s="746"/>
      <c r="J42" s="746"/>
      <c r="K42" s="746"/>
      <c r="L42" s="746"/>
      <c r="M42" s="746"/>
      <c r="N42" s="746"/>
      <c r="O42" s="764"/>
      <c r="P42" s="764"/>
      <c r="Q42" s="764"/>
      <c r="R42" s="764"/>
      <c r="S42" s="764"/>
      <c r="T42" s="746"/>
      <c r="U42" s="746"/>
      <c r="V42" s="746"/>
      <c r="W42" s="746"/>
      <c r="X42" s="746"/>
      <c r="Y42" s="746"/>
      <c r="Z42" s="746"/>
      <c r="AA42" s="746"/>
      <c r="AB42" s="746"/>
      <c r="AC42" s="746"/>
      <c r="AD42" s="746"/>
      <c r="AE42" s="746"/>
      <c r="AF42" s="746"/>
      <c r="AG42" s="746"/>
      <c r="AH42" s="746"/>
      <c r="AI42" s="746"/>
      <c r="AJ42" s="746"/>
      <c r="AK42" s="746"/>
      <c r="AL42" s="746"/>
      <c r="AM42" s="746"/>
      <c r="AN42" s="746"/>
      <c r="AO42" s="746"/>
      <c r="AP42" s="746"/>
      <c r="AQ42" s="746"/>
      <c r="AR42" s="746"/>
    </row>
    <row r="43" spans="1:44" x14ac:dyDescent="0.35">
      <c r="A43" s="746"/>
      <c r="B43" s="389"/>
      <c r="C43" s="389"/>
      <c r="D43" s="389"/>
      <c r="E43" s="361"/>
      <c r="F43" s="361"/>
      <c r="G43" s="361"/>
      <c r="H43" s="351"/>
      <c r="I43" s="746"/>
      <c r="J43" s="746"/>
      <c r="K43" s="800"/>
      <c r="L43" s="746"/>
      <c r="M43" s="746"/>
      <c r="N43" s="746"/>
      <c r="O43" s="764"/>
      <c r="P43" s="764"/>
      <c r="Q43" s="764"/>
      <c r="R43" s="764"/>
      <c r="S43" s="764"/>
      <c r="T43" s="746"/>
      <c r="U43" s="746"/>
      <c r="V43" s="746"/>
      <c r="W43" s="746"/>
      <c r="X43" s="746"/>
      <c r="Y43" s="746"/>
      <c r="Z43" s="746"/>
      <c r="AA43" s="746"/>
      <c r="AB43" s="746"/>
      <c r="AC43" s="746"/>
      <c r="AD43" s="746"/>
      <c r="AE43" s="746"/>
      <c r="AF43" s="746"/>
      <c r="AG43" s="801"/>
      <c r="AH43" s="746"/>
      <c r="AI43" s="746"/>
      <c r="AJ43" s="746"/>
      <c r="AK43" s="746"/>
      <c r="AL43" s="746"/>
      <c r="AM43" s="746"/>
      <c r="AN43" s="746"/>
      <c r="AO43" s="746"/>
      <c r="AP43" s="746"/>
      <c r="AQ43" s="746"/>
      <c r="AR43" s="746"/>
    </row>
    <row r="44" spans="1:44" x14ac:dyDescent="0.35">
      <c r="A44" s="746"/>
      <c r="B44" s="389"/>
      <c r="C44" s="389"/>
      <c r="D44" s="389"/>
      <c r="E44" s="361"/>
      <c r="F44" s="361"/>
      <c r="G44" s="361"/>
      <c r="H44" s="390"/>
      <c r="I44" s="802"/>
      <c r="J44" s="802"/>
      <c r="K44" s="803"/>
      <c r="L44" s="764"/>
      <c r="M44" s="764"/>
      <c r="N44" s="764"/>
      <c r="O44" s="764"/>
      <c r="P44" s="764"/>
      <c r="Q44" s="764"/>
      <c r="R44" s="764"/>
      <c r="S44" s="764"/>
      <c r="T44" s="746"/>
      <c r="U44" s="746"/>
      <c r="V44" s="746"/>
      <c r="W44" s="746"/>
      <c r="X44" s="746"/>
      <c r="Y44" s="746"/>
      <c r="Z44" s="746"/>
      <c r="AA44" s="746"/>
      <c r="AB44" s="746"/>
      <c r="AC44" s="746"/>
      <c r="AD44" s="746"/>
      <c r="AE44" s="746"/>
      <c r="AF44" s="746"/>
      <c r="AG44" s="801"/>
      <c r="AH44" s="746"/>
      <c r="AI44" s="746"/>
      <c r="AJ44" s="746"/>
      <c r="AK44" s="746"/>
      <c r="AL44" s="746"/>
      <c r="AM44" s="746"/>
      <c r="AN44" s="746"/>
      <c r="AO44" s="746"/>
      <c r="AP44" s="746"/>
      <c r="AQ44" s="746"/>
      <c r="AR44" s="746"/>
    </row>
    <row r="45" spans="1:44" x14ac:dyDescent="0.35">
      <c r="A45" s="746"/>
      <c r="B45" s="389"/>
      <c r="C45" s="389"/>
      <c r="D45" s="389"/>
      <c r="E45" s="391"/>
      <c r="F45" s="391"/>
      <c r="G45" s="391"/>
      <c r="H45" s="367"/>
      <c r="I45" s="764"/>
      <c r="J45" s="764"/>
      <c r="K45" s="804"/>
      <c r="L45" s="764"/>
      <c r="M45" s="764"/>
      <c r="N45" s="764"/>
      <c r="O45" s="764"/>
      <c r="P45" s="764"/>
      <c r="Q45" s="764"/>
      <c r="R45" s="764"/>
      <c r="S45" s="764"/>
      <c r="T45" s="746"/>
      <c r="U45" s="746"/>
      <c r="V45" s="746"/>
      <c r="W45" s="746"/>
      <c r="X45" s="746"/>
      <c r="Y45" s="746"/>
      <c r="Z45" s="746"/>
      <c r="AA45" s="746"/>
      <c r="AB45" s="746"/>
      <c r="AC45" s="746"/>
      <c r="AD45" s="746"/>
      <c r="AE45" s="746"/>
      <c r="AF45" s="746"/>
      <c r="AG45" s="746"/>
      <c r="AH45" s="746"/>
      <c r="AI45" s="746"/>
      <c r="AJ45" s="746"/>
      <c r="AK45" s="746"/>
      <c r="AL45" s="746"/>
      <c r="AM45" s="746"/>
      <c r="AN45" s="746"/>
      <c r="AO45" s="746"/>
      <c r="AP45" s="746"/>
      <c r="AQ45" s="746"/>
      <c r="AR45" s="746"/>
    </row>
    <row r="46" spans="1:44" x14ac:dyDescent="0.35">
      <c r="A46" s="746"/>
      <c r="B46" s="392"/>
      <c r="C46" s="392"/>
      <c r="D46" s="392"/>
      <c r="E46" s="393"/>
      <c r="F46" s="393"/>
      <c r="G46" s="393"/>
      <c r="H46" s="394"/>
      <c r="I46" s="805"/>
      <c r="J46" s="805"/>
      <c r="K46" s="806"/>
      <c r="L46" s="764"/>
      <c r="M46" s="764"/>
      <c r="N46" s="764"/>
      <c r="O46" s="764"/>
      <c r="P46" s="764"/>
      <c r="Q46" s="764"/>
      <c r="R46" s="764"/>
      <c r="S46" s="764"/>
      <c r="T46" s="746"/>
      <c r="U46" s="746"/>
      <c r="V46" s="746"/>
      <c r="W46" s="746"/>
      <c r="X46" s="746"/>
      <c r="Y46" s="746"/>
      <c r="Z46" s="746"/>
      <c r="AA46" s="746"/>
      <c r="AB46" s="746"/>
      <c r="AC46" s="746"/>
      <c r="AD46" s="746"/>
      <c r="AE46" s="746"/>
      <c r="AF46" s="746"/>
      <c r="AG46" s="746"/>
      <c r="AH46" s="746"/>
      <c r="AI46" s="746"/>
      <c r="AJ46" s="746"/>
      <c r="AK46" s="746"/>
      <c r="AL46" s="746"/>
      <c r="AM46" s="746"/>
      <c r="AN46" s="746"/>
      <c r="AO46" s="746"/>
      <c r="AP46" s="746"/>
      <c r="AQ46" s="746"/>
      <c r="AR46" s="746"/>
    </row>
    <row r="47" spans="1:44" x14ac:dyDescent="0.35">
      <c r="A47" s="746"/>
      <c r="B47" s="396"/>
      <c r="C47" s="396"/>
      <c r="D47" s="396" t="s">
        <v>5</v>
      </c>
      <c r="E47" s="388"/>
      <c r="F47" s="388"/>
      <c r="G47" s="388"/>
      <c r="H47" s="367"/>
      <c r="I47" s="764"/>
      <c r="J47" s="764"/>
      <c r="K47" s="804"/>
      <c r="L47" s="764"/>
      <c r="M47" s="764"/>
      <c r="N47" s="764"/>
      <c r="O47" s="764"/>
      <c r="P47" s="764"/>
      <c r="Q47" s="764"/>
      <c r="R47" s="764"/>
      <c r="S47" s="764"/>
      <c r="T47" s="746"/>
      <c r="U47" s="746"/>
      <c r="V47" s="746"/>
      <c r="W47" s="746"/>
      <c r="X47" s="746"/>
      <c r="Y47" s="746"/>
      <c r="Z47" s="746"/>
      <c r="AA47" s="746"/>
      <c r="AB47" s="746"/>
      <c r="AC47" s="746"/>
      <c r="AD47" s="746"/>
      <c r="AE47" s="746"/>
      <c r="AF47" s="746"/>
      <c r="AG47" s="746"/>
      <c r="AH47" s="746"/>
      <c r="AI47" s="746"/>
      <c r="AJ47" s="746"/>
      <c r="AK47" s="746"/>
      <c r="AL47" s="746"/>
      <c r="AM47" s="746"/>
      <c r="AN47" s="746"/>
      <c r="AO47" s="746"/>
      <c r="AP47" s="746"/>
      <c r="AQ47" s="746"/>
      <c r="AR47" s="746"/>
    </row>
    <row r="48" spans="1:44" x14ac:dyDescent="0.35">
      <c r="A48" s="746"/>
      <c r="B48" s="392"/>
      <c r="C48" s="392"/>
      <c r="D48" s="392"/>
      <c r="E48" s="393"/>
      <c r="F48" s="393"/>
      <c r="G48" s="393"/>
      <c r="H48" s="397"/>
      <c r="I48" s="807"/>
      <c r="J48" s="807"/>
      <c r="K48" s="806"/>
      <c r="L48" s="764"/>
      <c r="M48" s="764"/>
      <c r="N48" s="764"/>
      <c r="O48" s="764"/>
      <c r="P48" s="764"/>
      <c r="Q48" s="764"/>
      <c r="R48" s="764"/>
      <c r="S48" s="764"/>
      <c r="T48" s="746"/>
      <c r="U48" s="746"/>
      <c r="V48" s="746"/>
      <c r="W48" s="746"/>
      <c r="X48" s="746"/>
      <c r="Y48" s="746"/>
      <c r="Z48" s="746"/>
      <c r="AA48" s="746"/>
      <c r="AB48" s="746"/>
      <c r="AC48" s="746"/>
      <c r="AD48" s="746"/>
      <c r="AE48" s="746"/>
      <c r="AF48" s="746"/>
      <c r="AG48" s="746"/>
      <c r="AH48" s="746"/>
      <c r="AI48" s="746"/>
      <c r="AJ48" s="746"/>
      <c r="AK48" s="746"/>
      <c r="AL48" s="746"/>
      <c r="AM48" s="746"/>
      <c r="AN48" s="746"/>
      <c r="AO48" s="746"/>
      <c r="AP48" s="746"/>
      <c r="AQ48" s="746"/>
      <c r="AR48" s="746"/>
    </row>
    <row r="49" spans="1:44" x14ac:dyDescent="0.35">
      <c r="A49" s="746"/>
      <c r="B49" s="396"/>
      <c r="C49" s="396"/>
      <c r="D49" s="396"/>
      <c r="E49" s="388"/>
      <c r="F49" s="388"/>
      <c r="G49" s="388"/>
      <c r="H49" s="397"/>
      <c r="I49" s="807"/>
      <c r="J49" s="807"/>
      <c r="K49" s="806"/>
      <c r="L49" s="764"/>
      <c r="M49" s="764"/>
      <c r="N49" s="806"/>
      <c r="O49" s="807"/>
      <c r="P49" s="764"/>
      <c r="Q49" s="764"/>
      <c r="R49" s="764"/>
      <c r="S49" s="764"/>
      <c r="T49" s="746"/>
      <c r="U49" s="746"/>
      <c r="V49" s="746"/>
      <c r="W49" s="746"/>
      <c r="X49" s="746"/>
      <c r="Y49" s="746"/>
      <c r="Z49" s="746"/>
      <c r="AA49" s="746"/>
      <c r="AB49" s="746"/>
      <c r="AC49" s="746"/>
      <c r="AD49" s="746"/>
      <c r="AE49" s="746"/>
      <c r="AF49" s="746"/>
      <c r="AG49" s="746"/>
      <c r="AH49" s="746"/>
      <c r="AI49" s="746"/>
      <c r="AJ49" s="746"/>
      <c r="AK49" s="746"/>
      <c r="AL49" s="746"/>
      <c r="AM49" s="746"/>
      <c r="AN49" s="746"/>
      <c r="AO49" s="746"/>
      <c r="AP49" s="746"/>
      <c r="AQ49" s="746"/>
      <c r="AR49" s="746"/>
    </row>
    <row r="50" spans="1:44" x14ac:dyDescent="0.35">
      <c r="A50" s="746"/>
      <c r="B50" s="378"/>
      <c r="C50" s="378"/>
      <c r="D50" s="378"/>
      <c r="E50" s="393"/>
      <c r="F50" s="393"/>
      <c r="G50" s="393"/>
      <c r="H50" s="398"/>
      <c r="I50" s="808"/>
      <c r="J50" s="808"/>
      <c r="K50" s="806"/>
      <c r="L50" s="764"/>
      <c r="M50" s="764"/>
      <c r="N50" s="806"/>
      <c r="O50" s="807"/>
      <c r="P50" s="764"/>
      <c r="Q50" s="764"/>
      <c r="R50" s="764"/>
      <c r="S50" s="764"/>
      <c r="T50" s="746"/>
      <c r="U50" s="746"/>
      <c r="V50" s="746"/>
      <c r="W50" s="746"/>
      <c r="X50" s="746"/>
      <c r="Y50" s="746"/>
      <c r="Z50" s="746"/>
      <c r="AA50" s="746"/>
      <c r="AB50" s="746"/>
      <c r="AC50" s="746"/>
      <c r="AD50" s="746"/>
      <c r="AE50" s="746"/>
      <c r="AF50" s="746"/>
      <c r="AG50" s="746"/>
      <c r="AH50" s="746"/>
      <c r="AI50" s="746"/>
      <c r="AJ50" s="746"/>
      <c r="AK50" s="746"/>
      <c r="AL50" s="746"/>
      <c r="AM50" s="746"/>
      <c r="AN50" s="746"/>
      <c r="AO50" s="746"/>
      <c r="AP50" s="746"/>
      <c r="AQ50" s="746"/>
      <c r="AR50" s="746"/>
    </row>
    <row r="51" spans="1:44" x14ac:dyDescent="0.35">
      <c r="A51" s="746"/>
      <c r="B51" s="396"/>
      <c r="C51" s="396"/>
      <c r="D51" s="396"/>
      <c r="E51" s="388"/>
      <c r="F51" s="388"/>
      <c r="G51" s="388"/>
      <c r="H51" s="367"/>
      <c r="I51" s="764"/>
      <c r="J51" s="764"/>
      <c r="K51" s="804"/>
      <c r="L51" s="764"/>
      <c r="M51" s="764"/>
      <c r="N51" s="809"/>
      <c r="O51" s="764"/>
      <c r="P51" s="764"/>
      <c r="Q51" s="764"/>
      <c r="R51" s="764"/>
      <c r="S51" s="764"/>
      <c r="T51" s="746"/>
      <c r="U51" s="746"/>
      <c r="V51" s="746"/>
      <c r="W51" s="746"/>
      <c r="X51" s="746"/>
      <c r="Y51" s="746"/>
      <c r="Z51" s="746"/>
      <c r="AA51" s="746"/>
      <c r="AB51" s="746"/>
      <c r="AC51" s="746"/>
      <c r="AD51" s="746"/>
      <c r="AE51" s="746"/>
      <c r="AF51" s="746"/>
      <c r="AG51" s="746"/>
      <c r="AH51" s="746"/>
      <c r="AI51" s="746"/>
      <c r="AJ51" s="746"/>
      <c r="AK51" s="746"/>
      <c r="AL51" s="746"/>
      <c r="AM51" s="746"/>
      <c r="AN51" s="746"/>
      <c r="AO51" s="746"/>
      <c r="AP51" s="746"/>
      <c r="AQ51" s="746"/>
      <c r="AR51" s="746"/>
    </row>
    <row r="52" spans="1:44" x14ac:dyDescent="0.35">
      <c r="A52" s="746"/>
      <c r="B52" s="392"/>
      <c r="C52" s="392"/>
      <c r="D52" s="392"/>
      <c r="E52" s="393"/>
      <c r="F52" s="393"/>
      <c r="G52" s="393"/>
      <c r="H52" s="367"/>
      <c r="I52" s="764"/>
      <c r="J52" s="764"/>
      <c r="K52" s="804"/>
      <c r="L52" s="764"/>
      <c r="M52" s="764"/>
      <c r="N52" s="809"/>
      <c r="O52" s="764"/>
      <c r="P52" s="764"/>
      <c r="Q52" s="764"/>
      <c r="R52" s="764"/>
      <c r="S52" s="764"/>
      <c r="T52" s="746"/>
      <c r="U52" s="746"/>
      <c r="V52" s="746"/>
      <c r="W52" s="746"/>
      <c r="X52" s="746"/>
      <c r="Y52" s="746"/>
      <c r="Z52" s="746"/>
      <c r="AA52" s="746"/>
      <c r="AB52" s="746"/>
      <c r="AC52" s="746"/>
      <c r="AD52" s="746"/>
      <c r="AE52" s="746"/>
      <c r="AF52" s="746"/>
      <c r="AG52" s="746"/>
      <c r="AH52" s="746"/>
      <c r="AI52" s="746"/>
      <c r="AJ52" s="746"/>
      <c r="AK52" s="746"/>
      <c r="AL52" s="746"/>
      <c r="AM52" s="746"/>
      <c r="AN52" s="746"/>
      <c r="AO52" s="746"/>
      <c r="AP52" s="746"/>
      <c r="AQ52" s="746"/>
      <c r="AR52" s="746"/>
    </row>
    <row r="53" spans="1:44" x14ac:dyDescent="0.35">
      <c r="A53" s="746"/>
      <c r="B53" s="396"/>
      <c r="C53" s="396"/>
      <c r="D53" s="396"/>
      <c r="E53" s="388"/>
      <c r="F53" s="388"/>
      <c r="G53" s="388"/>
      <c r="H53" s="367"/>
      <c r="I53" s="764"/>
      <c r="J53" s="764"/>
      <c r="K53" s="804"/>
      <c r="L53" s="764"/>
      <c r="M53" s="764"/>
      <c r="N53" s="809"/>
      <c r="O53" s="764"/>
      <c r="P53" s="764"/>
      <c r="Q53" s="764"/>
      <c r="R53" s="764"/>
      <c r="S53" s="764"/>
      <c r="T53" s="746"/>
      <c r="U53" s="746"/>
      <c r="V53" s="746"/>
      <c r="W53" s="746"/>
      <c r="X53" s="746"/>
      <c r="Y53" s="746"/>
      <c r="Z53" s="746"/>
      <c r="AA53" s="746"/>
      <c r="AB53" s="746"/>
      <c r="AC53" s="746"/>
      <c r="AD53" s="746"/>
      <c r="AE53" s="746"/>
      <c r="AF53" s="746"/>
      <c r="AG53" s="746"/>
      <c r="AH53" s="746"/>
      <c r="AI53" s="746"/>
      <c r="AJ53" s="746"/>
      <c r="AK53" s="746"/>
      <c r="AL53" s="746"/>
      <c r="AM53" s="746"/>
      <c r="AN53" s="746"/>
      <c r="AO53" s="746"/>
      <c r="AP53" s="746"/>
      <c r="AQ53" s="746"/>
      <c r="AR53" s="746"/>
    </row>
    <row r="54" spans="1:44" x14ac:dyDescent="0.35">
      <c r="A54" s="746"/>
      <c r="B54" s="392"/>
      <c r="C54" s="392"/>
      <c r="D54" s="392"/>
      <c r="E54" s="393"/>
      <c r="F54" s="393"/>
      <c r="G54" s="393"/>
      <c r="H54" s="367"/>
      <c r="I54" s="764"/>
      <c r="J54" s="764"/>
      <c r="K54" s="804"/>
      <c r="L54" s="764"/>
      <c r="M54" s="764"/>
      <c r="N54" s="809"/>
      <c r="O54" s="764"/>
      <c r="P54" s="764"/>
      <c r="Q54" s="764"/>
      <c r="R54" s="764"/>
      <c r="S54" s="764"/>
      <c r="T54" s="746"/>
      <c r="U54" s="746"/>
      <c r="V54" s="746"/>
      <c r="W54" s="746"/>
      <c r="X54" s="746"/>
      <c r="Y54" s="746"/>
      <c r="Z54" s="746"/>
      <c r="AA54" s="746"/>
      <c r="AB54" s="746"/>
      <c r="AC54" s="746"/>
      <c r="AD54" s="746"/>
      <c r="AE54" s="746"/>
      <c r="AF54" s="746"/>
      <c r="AG54" s="746"/>
      <c r="AH54" s="746"/>
      <c r="AI54" s="746"/>
      <c r="AJ54" s="746"/>
      <c r="AK54" s="746"/>
      <c r="AL54" s="746"/>
      <c r="AM54" s="746"/>
      <c r="AN54" s="746"/>
      <c r="AO54" s="746"/>
      <c r="AP54" s="746"/>
      <c r="AQ54" s="746"/>
      <c r="AR54" s="746"/>
    </row>
    <row r="55" spans="1:44" x14ac:dyDescent="0.35">
      <c r="A55" s="746"/>
      <c r="B55" s="396"/>
      <c r="C55" s="396"/>
      <c r="D55" s="396"/>
      <c r="E55" s="388"/>
      <c r="F55" s="388"/>
      <c r="G55" s="388"/>
      <c r="H55" s="367"/>
      <c r="I55" s="764"/>
      <c r="J55" s="764"/>
      <c r="K55" s="804"/>
      <c r="L55" s="764"/>
      <c r="M55" s="764"/>
      <c r="N55" s="809"/>
      <c r="O55" s="764"/>
      <c r="P55" s="764"/>
      <c r="Q55" s="764"/>
      <c r="R55" s="764"/>
      <c r="S55" s="764"/>
      <c r="T55" s="746"/>
      <c r="U55" s="746"/>
      <c r="V55" s="746"/>
      <c r="W55" s="746"/>
      <c r="X55" s="746"/>
      <c r="Y55" s="746"/>
      <c r="Z55" s="746"/>
      <c r="AA55" s="746"/>
      <c r="AB55" s="746"/>
      <c r="AC55" s="746"/>
      <c r="AD55" s="746"/>
      <c r="AE55" s="746"/>
      <c r="AF55" s="746"/>
      <c r="AG55" s="746"/>
      <c r="AH55" s="746"/>
      <c r="AI55" s="746"/>
      <c r="AJ55" s="746"/>
      <c r="AK55" s="746"/>
      <c r="AL55" s="746"/>
      <c r="AM55" s="746"/>
      <c r="AN55" s="746"/>
      <c r="AO55" s="746"/>
      <c r="AP55" s="746"/>
      <c r="AQ55" s="746"/>
      <c r="AR55" s="746"/>
    </row>
    <row r="56" spans="1:44" x14ac:dyDescent="0.35">
      <c r="A56" s="746"/>
      <c r="B56" s="399"/>
      <c r="C56" s="399"/>
      <c r="D56" s="399"/>
      <c r="E56" s="393"/>
      <c r="F56" s="393"/>
      <c r="G56" s="393"/>
      <c r="H56" s="351"/>
      <c r="I56" s="746"/>
      <c r="J56" s="746"/>
      <c r="K56" s="764"/>
      <c r="L56" s="764"/>
      <c r="M56" s="764"/>
      <c r="N56" s="764"/>
      <c r="O56" s="764"/>
      <c r="P56" s="764"/>
      <c r="Q56" s="764"/>
      <c r="R56" s="764"/>
      <c r="S56" s="764"/>
      <c r="T56" s="746"/>
      <c r="U56" s="746"/>
      <c r="V56" s="746"/>
      <c r="W56" s="746"/>
      <c r="X56" s="746"/>
      <c r="Y56" s="746"/>
      <c r="Z56" s="746"/>
      <c r="AA56" s="746"/>
      <c r="AB56" s="746"/>
      <c r="AC56" s="746"/>
      <c r="AD56" s="746"/>
      <c r="AE56" s="746"/>
      <c r="AF56" s="746"/>
      <c r="AG56" s="746"/>
      <c r="AH56" s="746"/>
      <c r="AI56" s="746"/>
      <c r="AJ56" s="746"/>
      <c r="AK56" s="746"/>
      <c r="AL56" s="746"/>
      <c r="AM56" s="746"/>
      <c r="AN56" s="746"/>
      <c r="AO56" s="746"/>
      <c r="AP56" s="746"/>
      <c r="AQ56" s="746"/>
      <c r="AR56" s="746"/>
    </row>
    <row r="57" spans="1:44" x14ac:dyDescent="0.35">
      <c r="A57" s="746"/>
      <c r="B57" s="396"/>
      <c r="C57" s="396"/>
      <c r="D57" s="396"/>
      <c r="E57" s="388"/>
      <c r="F57" s="388"/>
      <c r="G57" s="388"/>
      <c r="H57" s="395"/>
      <c r="I57" s="806"/>
      <c r="J57" s="806"/>
      <c r="K57" s="764"/>
      <c r="L57" s="810"/>
      <c r="M57" s="810"/>
      <c r="N57" s="764"/>
      <c r="O57" s="764"/>
      <c r="P57" s="764"/>
      <c r="Q57" s="764"/>
      <c r="R57" s="764"/>
      <c r="S57" s="764"/>
      <c r="T57" s="746"/>
      <c r="U57" s="746"/>
      <c r="V57" s="746"/>
      <c r="W57" s="746"/>
      <c r="X57" s="746"/>
      <c r="Y57" s="746"/>
      <c r="Z57" s="746"/>
      <c r="AA57" s="746"/>
      <c r="AB57" s="746"/>
      <c r="AC57" s="746"/>
      <c r="AD57" s="746"/>
      <c r="AE57" s="746"/>
      <c r="AF57" s="746"/>
      <c r="AG57" s="746"/>
      <c r="AH57" s="746"/>
      <c r="AI57" s="746"/>
      <c r="AJ57" s="746"/>
      <c r="AK57" s="746"/>
      <c r="AL57" s="746"/>
      <c r="AM57" s="746"/>
      <c r="AN57" s="746"/>
      <c r="AO57" s="746"/>
      <c r="AP57" s="746"/>
      <c r="AQ57" s="746"/>
      <c r="AR57" s="746"/>
    </row>
    <row r="58" spans="1:44" x14ac:dyDescent="0.35">
      <c r="A58" s="746"/>
      <c r="B58" s="392"/>
      <c r="C58" s="392"/>
      <c r="D58" s="392"/>
      <c r="E58" s="379"/>
      <c r="F58" s="379"/>
      <c r="G58" s="379"/>
      <c r="H58" s="395"/>
      <c r="I58" s="806"/>
      <c r="J58" s="806"/>
      <c r="K58" s="764"/>
      <c r="L58" s="764"/>
      <c r="M58" s="764"/>
      <c r="N58" s="764"/>
      <c r="O58" s="764"/>
      <c r="P58" s="764"/>
      <c r="Q58" s="764"/>
      <c r="R58" s="764"/>
      <c r="S58" s="764"/>
      <c r="T58" s="746"/>
      <c r="U58" s="746"/>
      <c r="V58" s="746"/>
      <c r="W58" s="746"/>
      <c r="X58" s="746"/>
      <c r="Y58" s="746"/>
      <c r="Z58" s="746"/>
      <c r="AA58" s="746"/>
      <c r="AB58" s="746"/>
      <c r="AC58" s="746"/>
      <c r="AD58" s="746"/>
      <c r="AE58" s="746"/>
      <c r="AF58" s="746"/>
      <c r="AG58" s="746"/>
      <c r="AH58" s="746"/>
      <c r="AI58" s="746"/>
      <c r="AJ58" s="746"/>
      <c r="AK58" s="746"/>
      <c r="AL58" s="746"/>
      <c r="AM58" s="746"/>
      <c r="AN58" s="746"/>
      <c r="AO58" s="746"/>
      <c r="AP58" s="746"/>
      <c r="AQ58" s="746"/>
      <c r="AR58" s="746"/>
    </row>
    <row r="59" spans="1:44" x14ac:dyDescent="0.35">
      <c r="A59" s="746"/>
      <c r="B59" s="396"/>
      <c r="C59" s="396"/>
      <c r="D59" s="396"/>
      <c r="E59" s="384"/>
      <c r="F59" s="384"/>
      <c r="G59" s="384"/>
      <c r="H59" s="400"/>
      <c r="I59" s="811"/>
      <c r="J59" s="811"/>
      <c r="K59" s="764"/>
      <c r="L59" s="764"/>
      <c r="M59" s="764"/>
      <c r="N59" s="764"/>
      <c r="O59" s="764"/>
      <c r="P59" s="764"/>
      <c r="Q59" s="764"/>
      <c r="R59" s="764"/>
      <c r="S59" s="764"/>
      <c r="T59" s="746"/>
      <c r="U59" s="746"/>
      <c r="V59" s="746"/>
      <c r="W59" s="746"/>
      <c r="X59" s="746"/>
      <c r="Y59" s="746"/>
      <c r="Z59" s="746"/>
      <c r="AA59" s="746"/>
      <c r="AB59" s="746"/>
      <c r="AC59" s="746"/>
      <c r="AD59" s="746"/>
      <c r="AE59" s="746"/>
      <c r="AF59" s="746"/>
      <c r="AG59" s="746"/>
      <c r="AH59" s="746"/>
      <c r="AI59" s="746"/>
      <c r="AJ59" s="746"/>
      <c r="AK59" s="746"/>
      <c r="AL59" s="746"/>
      <c r="AM59" s="746"/>
      <c r="AN59" s="746"/>
      <c r="AO59" s="746"/>
      <c r="AP59" s="746"/>
      <c r="AQ59" s="746"/>
      <c r="AR59" s="746"/>
    </row>
    <row r="60" spans="1:44" x14ac:dyDescent="0.35">
      <c r="A60" s="746"/>
      <c r="B60" s="392"/>
      <c r="C60" s="392"/>
      <c r="D60" s="392"/>
      <c r="E60" s="401"/>
      <c r="F60" s="401"/>
      <c r="G60" s="401"/>
      <c r="H60" s="367"/>
      <c r="I60" s="764"/>
      <c r="J60" s="764"/>
      <c r="K60" s="764"/>
      <c r="L60" s="764"/>
      <c r="M60" s="764"/>
      <c r="N60" s="764"/>
      <c r="O60" s="764"/>
      <c r="P60" s="764"/>
      <c r="Q60" s="764"/>
      <c r="R60" s="764"/>
      <c r="S60" s="764"/>
      <c r="T60" s="746"/>
      <c r="U60" s="746"/>
      <c r="V60" s="746"/>
      <c r="W60" s="746"/>
      <c r="X60" s="746"/>
      <c r="Y60" s="746"/>
      <c r="Z60" s="746"/>
      <c r="AA60" s="746"/>
      <c r="AB60" s="746"/>
      <c r="AC60" s="746"/>
      <c r="AD60" s="746"/>
      <c r="AE60" s="746"/>
      <c r="AF60" s="746"/>
      <c r="AG60" s="746"/>
      <c r="AH60" s="746"/>
      <c r="AI60" s="746"/>
      <c r="AJ60" s="746"/>
      <c r="AK60" s="746"/>
      <c r="AL60" s="746"/>
      <c r="AM60" s="746"/>
      <c r="AN60" s="746"/>
      <c r="AO60" s="746"/>
      <c r="AP60" s="746"/>
      <c r="AQ60" s="746"/>
      <c r="AR60" s="746"/>
    </row>
    <row r="61" spans="1:44" x14ac:dyDescent="0.35">
      <c r="A61" s="746"/>
      <c r="B61" s="396"/>
      <c r="C61" s="396"/>
      <c r="D61" s="396"/>
      <c r="E61" s="388"/>
      <c r="F61" s="388"/>
      <c r="G61" s="388"/>
      <c r="H61" s="367"/>
      <c r="I61" s="764"/>
      <c r="J61" s="764"/>
      <c r="K61" s="764"/>
      <c r="L61" s="764"/>
      <c r="M61" s="764"/>
      <c r="N61" s="764"/>
      <c r="O61" s="764"/>
      <c r="P61" s="764"/>
      <c r="Q61" s="764"/>
      <c r="R61" s="764"/>
      <c r="S61" s="764"/>
      <c r="T61" s="746"/>
      <c r="U61" s="746"/>
      <c r="V61" s="746"/>
      <c r="W61" s="746"/>
      <c r="X61" s="746"/>
      <c r="Y61" s="746"/>
      <c r="Z61" s="746"/>
      <c r="AA61" s="746"/>
      <c r="AB61" s="746"/>
      <c r="AC61" s="746"/>
      <c r="AD61" s="746"/>
      <c r="AE61" s="746"/>
      <c r="AF61" s="746"/>
      <c r="AG61" s="746"/>
      <c r="AH61" s="746"/>
      <c r="AI61" s="746"/>
      <c r="AJ61" s="746"/>
      <c r="AK61" s="746"/>
      <c r="AL61" s="746"/>
      <c r="AM61" s="746"/>
      <c r="AN61" s="746"/>
      <c r="AO61" s="746"/>
      <c r="AP61" s="746"/>
      <c r="AQ61" s="746"/>
      <c r="AR61" s="746"/>
    </row>
    <row r="62" spans="1:44" x14ac:dyDescent="0.35">
      <c r="A62" s="746"/>
      <c r="B62" s="396"/>
      <c r="C62" s="396"/>
      <c r="D62" s="396"/>
      <c r="E62" s="379"/>
      <c r="F62" s="379"/>
      <c r="G62" s="379"/>
      <c r="H62" s="367"/>
      <c r="I62" s="764"/>
      <c r="J62" s="764"/>
      <c r="K62" s="764"/>
      <c r="L62" s="764"/>
      <c r="M62" s="764"/>
      <c r="N62" s="764"/>
      <c r="O62" s="764"/>
      <c r="P62" s="764"/>
      <c r="Q62" s="764"/>
      <c r="R62" s="764"/>
      <c r="S62" s="764"/>
      <c r="T62" s="746"/>
      <c r="U62" s="746"/>
      <c r="V62" s="746"/>
      <c r="W62" s="746"/>
      <c r="X62" s="746"/>
      <c r="Y62" s="746"/>
      <c r="Z62" s="746"/>
      <c r="AA62" s="746"/>
      <c r="AB62" s="746"/>
      <c r="AC62" s="746"/>
      <c r="AD62" s="746"/>
      <c r="AE62" s="746"/>
      <c r="AF62" s="746"/>
      <c r="AG62" s="746"/>
      <c r="AH62" s="746"/>
      <c r="AI62" s="746"/>
      <c r="AJ62" s="746"/>
      <c r="AK62" s="746"/>
      <c r="AL62" s="746"/>
      <c r="AM62" s="746"/>
      <c r="AN62" s="746"/>
      <c r="AO62" s="746"/>
      <c r="AP62" s="746"/>
      <c r="AQ62" s="746"/>
      <c r="AR62" s="746"/>
    </row>
    <row r="63" spans="1:44" x14ac:dyDescent="0.35">
      <c r="A63" s="746"/>
      <c r="B63" s="396"/>
      <c r="C63" s="396"/>
      <c r="D63" s="396"/>
      <c r="E63" s="384"/>
      <c r="F63" s="384"/>
      <c r="G63" s="384"/>
      <c r="H63" s="367"/>
      <c r="I63" s="764"/>
      <c r="J63" s="764"/>
      <c r="K63" s="764"/>
      <c r="L63" s="764"/>
      <c r="M63" s="764"/>
      <c r="N63" s="764"/>
      <c r="O63" s="764"/>
      <c r="P63" s="764"/>
      <c r="Q63" s="764"/>
      <c r="R63" s="764"/>
      <c r="S63" s="764"/>
      <c r="T63" s="746"/>
      <c r="U63" s="746"/>
      <c r="V63" s="746"/>
      <c r="W63" s="746"/>
      <c r="X63" s="746"/>
      <c r="Y63" s="746"/>
      <c r="Z63" s="746"/>
      <c r="AA63" s="746"/>
      <c r="AB63" s="746"/>
      <c r="AC63" s="746"/>
      <c r="AD63" s="746"/>
      <c r="AE63" s="746"/>
      <c r="AF63" s="746"/>
      <c r="AG63" s="746"/>
      <c r="AH63" s="746"/>
      <c r="AI63" s="746"/>
      <c r="AJ63" s="746"/>
      <c r="AK63" s="746"/>
      <c r="AL63" s="746"/>
      <c r="AM63" s="746"/>
      <c r="AN63" s="746"/>
      <c r="AO63" s="746"/>
      <c r="AP63" s="746"/>
      <c r="AQ63" s="746"/>
      <c r="AR63" s="746"/>
    </row>
    <row r="64" spans="1:44" x14ac:dyDescent="0.35">
      <c r="A64" s="746"/>
      <c r="B64" s="392"/>
      <c r="C64" s="392"/>
      <c r="D64" s="392"/>
      <c r="E64" s="379"/>
      <c r="F64" s="379"/>
      <c r="G64" s="379"/>
      <c r="H64" s="367"/>
      <c r="I64" s="764"/>
      <c r="J64" s="764"/>
      <c r="K64" s="764"/>
      <c r="L64" s="764"/>
      <c r="M64" s="764"/>
      <c r="N64" s="764"/>
      <c r="O64" s="764"/>
      <c r="P64" s="764"/>
      <c r="Q64" s="764"/>
      <c r="R64" s="764"/>
      <c r="S64" s="764"/>
      <c r="T64" s="746"/>
      <c r="U64" s="746"/>
      <c r="V64" s="746"/>
      <c r="W64" s="746"/>
      <c r="X64" s="746"/>
      <c r="Y64" s="746"/>
      <c r="Z64" s="746"/>
      <c r="AA64" s="746"/>
      <c r="AB64" s="746"/>
      <c r="AC64" s="746"/>
      <c r="AD64" s="746"/>
      <c r="AE64" s="746"/>
      <c r="AF64" s="746"/>
      <c r="AG64" s="746"/>
      <c r="AH64" s="746"/>
      <c r="AI64" s="746"/>
      <c r="AJ64" s="746"/>
      <c r="AK64" s="746"/>
      <c r="AL64" s="746"/>
      <c r="AM64" s="746"/>
      <c r="AN64" s="746"/>
      <c r="AO64" s="746"/>
      <c r="AP64" s="746"/>
      <c r="AQ64" s="746"/>
      <c r="AR64" s="746"/>
    </row>
    <row r="65" spans="1:44" x14ac:dyDescent="0.35">
      <c r="A65" s="746"/>
      <c r="B65" s="392"/>
      <c r="C65" s="392"/>
      <c r="D65" s="392"/>
      <c r="E65" s="402"/>
      <c r="F65" s="402"/>
      <c r="G65" s="402"/>
      <c r="H65" s="367"/>
      <c r="I65" s="764"/>
      <c r="J65" s="764"/>
      <c r="K65" s="764"/>
      <c r="L65" s="764"/>
      <c r="M65" s="764"/>
      <c r="N65" s="764"/>
      <c r="O65" s="764"/>
      <c r="P65" s="764"/>
      <c r="Q65" s="764"/>
      <c r="R65" s="764"/>
      <c r="S65" s="764"/>
      <c r="T65" s="746"/>
      <c r="U65" s="746"/>
      <c r="V65" s="746"/>
      <c r="W65" s="746"/>
      <c r="X65" s="746"/>
      <c r="Y65" s="746"/>
      <c r="Z65" s="746"/>
      <c r="AA65" s="746"/>
      <c r="AB65" s="746"/>
      <c r="AC65" s="746"/>
      <c r="AD65" s="746"/>
      <c r="AE65" s="746"/>
      <c r="AF65" s="746"/>
      <c r="AG65" s="746"/>
      <c r="AH65" s="746"/>
      <c r="AI65" s="746"/>
      <c r="AJ65" s="746"/>
      <c r="AK65" s="746"/>
      <c r="AL65" s="746"/>
      <c r="AM65" s="746"/>
      <c r="AN65" s="746"/>
      <c r="AO65" s="746"/>
      <c r="AP65" s="746"/>
      <c r="AQ65" s="746"/>
      <c r="AR65" s="746"/>
    </row>
    <row r="66" spans="1:44" x14ac:dyDescent="0.35">
      <c r="A66" s="746"/>
      <c r="B66" s="392"/>
      <c r="C66" s="392"/>
      <c r="D66" s="392"/>
      <c r="E66" s="379"/>
      <c r="F66" s="379"/>
      <c r="G66" s="379"/>
      <c r="H66" s="367"/>
      <c r="I66" s="764"/>
      <c r="J66" s="764"/>
      <c r="K66" s="764"/>
      <c r="L66" s="764"/>
      <c r="M66" s="764"/>
      <c r="N66" s="764"/>
      <c r="O66" s="764"/>
      <c r="P66" s="764"/>
      <c r="Q66" s="764"/>
      <c r="R66" s="764"/>
      <c r="S66" s="764"/>
      <c r="T66" s="746"/>
      <c r="U66" s="746"/>
      <c r="V66" s="746"/>
      <c r="W66" s="746"/>
      <c r="X66" s="746"/>
      <c r="Y66" s="746"/>
      <c r="Z66" s="746"/>
      <c r="AA66" s="746"/>
      <c r="AB66" s="746"/>
      <c r="AC66" s="746"/>
      <c r="AD66" s="746"/>
      <c r="AE66" s="746"/>
      <c r="AF66" s="746"/>
      <c r="AG66" s="746"/>
      <c r="AH66" s="746"/>
      <c r="AI66" s="746"/>
      <c r="AJ66" s="746"/>
      <c r="AK66" s="746"/>
      <c r="AL66" s="746"/>
      <c r="AM66" s="746"/>
      <c r="AN66" s="746"/>
      <c r="AO66" s="746"/>
      <c r="AP66" s="746"/>
      <c r="AQ66" s="746"/>
      <c r="AR66" s="746"/>
    </row>
    <row r="67" spans="1:44" x14ac:dyDescent="0.35">
      <c r="A67" s="746"/>
      <c r="B67" s="376"/>
      <c r="C67" s="376"/>
      <c r="D67" s="376"/>
      <c r="E67" s="403"/>
      <c r="F67" s="403"/>
      <c r="G67" s="403"/>
      <c r="H67" s="367"/>
      <c r="I67" s="764"/>
      <c r="J67" s="764"/>
      <c r="K67" s="764"/>
      <c r="L67" s="764"/>
      <c r="M67" s="764"/>
      <c r="N67" s="764"/>
      <c r="O67" s="764"/>
      <c r="P67" s="764"/>
      <c r="Q67" s="764"/>
      <c r="R67" s="764"/>
      <c r="S67" s="764"/>
      <c r="T67" s="746"/>
      <c r="U67" s="746"/>
      <c r="V67" s="746"/>
      <c r="W67" s="746"/>
      <c r="X67" s="746"/>
      <c r="Y67" s="746"/>
      <c r="Z67" s="746"/>
      <c r="AA67" s="746"/>
      <c r="AB67" s="746"/>
      <c r="AC67" s="746"/>
      <c r="AD67" s="746"/>
      <c r="AE67" s="746"/>
      <c r="AF67" s="746"/>
      <c r="AG67" s="746"/>
      <c r="AH67" s="746"/>
      <c r="AI67" s="746"/>
      <c r="AJ67" s="746"/>
      <c r="AK67" s="746"/>
      <c r="AL67" s="746"/>
      <c r="AM67" s="746"/>
      <c r="AN67" s="746"/>
      <c r="AO67" s="746"/>
      <c r="AP67" s="746"/>
      <c r="AQ67" s="746"/>
      <c r="AR67" s="746"/>
    </row>
    <row r="68" spans="1:44" x14ac:dyDescent="0.35">
      <c r="A68" s="746"/>
      <c r="B68" s="351"/>
      <c r="C68" s="351"/>
      <c r="D68" s="351"/>
      <c r="E68" s="351"/>
      <c r="F68" s="351"/>
      <c r="G68" s="351"/>
      <c r="H68" s="367"/>
      <c r="I68" s="764"/>
      <c r="J68" s="764"/>
      <c r="K68" s="764"/>
      <c r="L68" s="764"/>
      <c r="M68" s="764"/>
      <c r="N68" s="764"/>
      <c r="O68" s="764"/>
      <c r="P68" s="764"/>
      <c r="Q68" s="764"/>
      <c r="R68" s="764"/>
      <c r="S68" s="764"/>
      <c r="T68" s="746"/>
      <c r="U68" s="746"/>
      <c r="V68" s="746"/>
      <c r="W68" s="746"/>
      <c r="X68" s="746"/>
      <c r="Y68" s="746"/>
      <c r="Z68" s="746"/>
      <c r="AA68" s="746"/>
      <c r="AB68" s="746"/>
      <c r="AC68" s="746"/>
      <c r="AD68" s="746"/>
      <c r="AE68" s="746"/>
      <c r="AF68" s="746"/>
      <c r="AG68" s="746"/>
      <c r="AH68" s="746"/>
      <c r="AI68" s="746"/>
      <c r="AJ68" s="746"/>
      <c r="AK68" s="746"/>
      <c r="AL68" s="746"/>
      <c r="AM68" s="746"/>
      <c r="AN68" s="746"/>
      <c r="AO68" s="746"/>
      <c r="AP68" s="746"/>
      <c r="AQ68" s="746"/>
      <c r="AR68" s="746"/>
    </row>
    <row r="69" spans="1:44" x14ac:dyDescent="0.35">
      <c r="A69" s="746"/>
      <c r="B69" s="351"/>
      <c r="C69" s="351"/>
      <c r="D69" s="351"/>
      <c r="E69" s="351"/>
      <c r="F69" s="351"/>
      <c r="G69" s="351"/>
      <c r="H69" s="367"/>
      <c r="I69" s="764"/>
      <c r="J69" s="764"/>
      <c r="K69" s="797"/>
      <c r="L69" s="764"/>
      <c r="M69" s="764"/>
      <c r="N69" s="764"/>
      <c r="O69" s="764"/>
      <c r="P69" s="764"/>
      <c r="Q69" s="764"/>
      <c r="R69" s="764"/>
      <c r="S69" s="764"/>
      <c r="T69" s="764"/>
      <c r="U69" s="764"/>
      <c r="V69" s="764"/>
      <c r="W69" s="764"/>
      <c r="X69" s="764"/>
      <c r="Y69" s="764"/>
      <c r="Z69" s="764"/>
      <c r="AA69" s="746"/>
      <c r="AB69" s="746"/>
      <c r="AC69" s="746"/>
      <c r="AD69" s="746"/>
      <c r="AE69" s="746"/>
      <c r="AF69" s="746"/>
      <c r="AG69" s="746"/>
      <c r="AH69" s="746"/>
      <c r="AI69" s="746"/>
      <c r="AJ69" s="746"/>
      <c r="AK69" s="746"/>
      <c r="AL69" s="746"/>
      <c r="AM69" s="746"/>
      <c r="AN69" s="746"/>
      <c r="AO69" s="746"/>
      <c r="AP69" s="746"/>
      <c r="AQ69" s="746"/>
      <c r="AR69" s="746"/>
    </row>
    <row r="70" spans="1:44" x14ac:dyDescent="0.35">
      <c r="A70" s="746"/>
      <c r="B70" s="351"/>
      <c r="C70" s="351"/>
      <c r="D70" s="351"/>
      <c r="E70" s="351"/>
      <c r="F70" s="351"/>
      <c r="G70" s="351"/>
      <c r="H70" s="367"/>
      <c r="I70" s="764"/>
      <c r="J70" s="764"/>
      <c r="K70" s="797"/>
      <c r="L70" s="764"/>
      <c r="M70" s="764"/>
      <c r="N70" s="764"/>
      <c r="O70" s="764"/>
      <c r="P70" s="764"/>
      <c r="Q70" s="764"/>
      <c r="R70" s="764"/>
      <c r="S70" s="764"/>
      <c r="T70" s="764"/>
      <c r="U70" s="764"/>
      <c r="V70" s="764"/>
      <c r="W70" s="764"/>
      <c r="X70" s="764"/>
      <c r="Y70" s="764"/>
      <c r="Z70" s="764"/>
      <c r="AA70" s="746"/>
      <c r="AB70" s="746"/>
      <c r="AC70" s="746"/>
      <c r="AD70" s="746"/>
      <c r="AE70" s="746"/>
      <c r="AF70" s="746"/>
      <c r="AG70" s="746"/>
      <c r="AH70" s="746"/>
      <c r="AI70" s="746"/>
      <c r="AJ70" s="746"/>
      <c r="AK70" s="746"/>
      <c r="AL70" s="746"/>
      <c r="AM70" s="746"/>
      <c r="AN70" s="746"/>
      <c r="AO70" s="746"/>
      <c r="AP70" s="746"/>
      <c r="AQ70" s="746"/>
      <c r="AR70" s="746"/>
    </row>
    <row r="71" spans="1:44" x14ac:dyDescent="0.35">
      <c r="A71" s="746"/>
      <c r="B71" s="351"/>
      <c r="C71" s="351"/>
      <c r="D71" s="351"/>
      <c r="E71" s="351"/>
      <c r="F71" s="351"/>
      <c r="G71" s="351"/>
      <c r="H71" s="367"/>
      <c r="I71" s="764"/>
      <c r="J71" s="764"/>
      <c r="K71" s="797"/>
      <c r="L71" s="764"/>
      <c r="M71" s="764"/>
      <c r="N71" s="764"/>
      <c r="O71" s="764"/>
      <c r="P71" s="764"/>
      <c r="Q71" s="764"/>
      <c r="R71" s="764"/>
      <c r="S71" s="764"/>
      <c r="T71" s="764"/>
      <c r="U71" s="764"/>
      <c r="V71" s="764"/>
      <c r="W71" s="764"/>
      <c r="X71" s="764"/>
      <c r="Y71" s="764"/>
      <c r="Z71" s="764"/>
      <c r="AA71" s="746"/>
      <c r="AB71" s="746"/>
      <c r="AC71" s="746"/>
      <c r="AD71" s="746"/>
      <c r="AE71" s="746"/>
      <c r="AF71" s="746"/>
      <c r="AG71" s="746"/>
      <c r="AH71" s="746"/>
      <c r="AI71" s="746"/>
      <c r="AJ71" s="746"/>
      <c r="AK71" s="746"/>
      <c r="AL71" s="746"/>
      <c r="AM71" s="746"/>
      <c r="AN71" s="746"/>
      <c r="AO71" s="746"/>
      <c r="AP71" s="746"/>
      <c r="AQ71" s="746"/>
      <c r="AR71" s="746"/>
    </row>
    <row r="72" spans="1:44" x14ac:dyDescent="0.35">
      <c r="A72" s="746"/>
      <c r="B72" s="351"/>
      <c r="C72" s="351"/>
      <c r="D72" s="351"/>
      <c r="E72" s="351"/>
      <c r="F72" s="351"/>
      <c r="G72" s="351"/>
      <c r="H72" s="367"/>
      <c r="I72" s="764"/>
      <c r="J72" s="764"/>
      <c r="K72" s="797"/>
      <c r="L72" s="764"/>
      <c r="M72" s="764"/>
      <c r="N72" s="764"/>
      <c r="O72" s="764"/>
      <c r="P72" s="764"/>
      <c r="Q72" s="764"/>
      <c r="R72" s="764"/>
      <c r="S72" s="764"/>
      <c r="T72" s="764"/>
      <c r="U72" s="764"/>
      <c r="V72" s="764"/>
      <c r="W72" s="764"/>
      <c r="X72" s="764"/>
      <c r="Y72" s="764"/>
      <c r="Z72" s="764"/>
      <c r="AA72" s="746"/>
      <c r="AB72" s="746"/>
      <c r="AC72" s="746"/>
      <c r="AD72" s="746"/>
      <c r="AE72" s="746"/>
      <c r="AF72" s="746"/>
      <c r="AG72" s="746"/>
      <c r="AH72" s="746"/>
      <c r="AI72" s="746"/>
      <c r="AJ72" s="746"/>
      <c r="AK72" s="746"/>
      <c r="AL72" s="746"/>
      <c r="AM72" s="746"/>
      <c r="AN72" s="746"/>
      <c r="AO72" s="746"/>
      <c r="AP72" s="746"/>
      <c r="AQ72" s="746"/>
      <c r="AR72" s="746"/>
    </row>
    <row r="73" spans="1:44" x14ac:dyDescent="0.35">
      <c r="A73" s="746"/>
      <c r="B73" s="351"/>
      <c r="C73" s="351"/>
      <c r="D73" s="351"/>
      <c r="E73" s="351"/>
      <c r="F73" s="351"/>
      <c r="G73" s="351"/>
      <c r="H73" s="367"/>
      <c r="I73" s="764"/>
      <c r="J73" s="764"/>
      <c r="K73" s="797"/>
      <c r="L73" s="764"/>
      <c r="M73" s="764"/>
      <c r="N73" s="764"/>
      <c r="O73" s="764"/>
      <c r="P73" s="764"/>
      <c r="Q73" s="764"/>
      <c r="R73" s="764"/>
      <c r="S73" s="764"/>
      <c r="T73" s="764"/>
      <c r="U73" s="764"/>
      <c r="V73" s="764"/>
      <c r="W73" s="764"/>
      <c r="X73" s="764"/>
      <c r="Y73" s="764"/>
      <c r="Z73" s="764"/>
      <c r="AA73" s="746"/>
      <c r="AB73" s="746"/>
      <c r="AC73" s="746"/>
      <c r="AD73" s="746"/>
      <c r="AE73" s="746"/>
      <c r="AF73" s="746"/>
      <c r="AG73" s="746"/>
      <c r="AH73" s="746"/>
      <c r="AI73" s="746"/>
      <c r="AJ73" s="746"/>
      <c r="AK73" s="746"/>
      <c r="AL73" s="746"/>
      <c r="AM73" s="746"/>
      <c r="AN73" s="746"/>
      <c r="AO73" s="746"/>
      <c r="AP73" s="746"/>
      <c r="AQ73" s="746"/>
      <c r="AR73" s="746"/>
    </row>
    <row r="74" spans="1:44" x14ac:dyDescent="0.35">
      <c r="A74" s="746"/>
      <c r="B74" s="351"/>
      <c r="C74" s="351"/>
      <c r="D74" s="351"/>
      <c r="E74" s="351"/>
      <c r="F74" s="351"/>
      <c r="G74" s="351"/>
      <c r="H74" s="367"/>
      <c r="I74" s="764"/>
      <c r="J74" s="764"/>
      <c r="K74" s="797"/>
      <c r="L74" s="764"/>
      <c r="M74" s="764"/>
      <c r="N74" s="764"/>
      <c r="O74" s="764"/>
      <c r="P74" s="764"/>
      <c r="Q74" s="764"/>
      <c r="R74" s="764"/>
      <c r="S74" s="764"/>
      <c r="T74" s="764"/>
      <c r="U74" s="764"/>
      <c r="V74" s="764"/>
      <c r="W74" s="764"/>
      <c r="X74" s="764"/>
      <c r="Y74" s="764"/>
      <c r="Z74" s="764"/>
      <c r="AA74" s="746"/>
      <c r="AB74" s="746"/>
      <c r="AC74" s="746"/>
      <c r="AD74" s="746"/>
      <c r="AE74" s="746"/>
      <c r="AF74" s="746"/>
      <c r="AG74" s="746"/>
      <c r="AH74" s="746"/>
      <c r="AI74" s="746"/>
      <c r="AJ74" s="746"/>
      <c r="AK74" s="746"/>
      <c r="AL74" s="746"/>
      <c r="AM74" s="746"/>
      <c r="AN74" s="746"/>
      <c r="AO74" s="746"/>
      <c r="AP74" s="746"/>
      <c r="AQ74" s="746"/>
      <c r="AR74" s="746"/>
    </row>
    <row r="75" spans="1:44" x14ac:dyDescent="0.35">
      <c r="A75" s="746"/>
      <c r="B75" s="351"/>
      <c r="C75" s="351"/>
      <c r="D75" s="351"/>
      <c r="E75" s="351"/>
      <c r="F75" s="351"/>
      <c r="G75" s="351"/>
      <c r="H75" s="367"/>
      <c r="I75" s="764"/>
      <c r="J75" s="764"/>
      <c r="K75" s="797"/>
      <c r="L75" s="764"/>
      <c r="M75" s="764"/>
      <c r="N75" s="764"/>
      <c r="O75" s="764"/>
      <c r="P75" s="764"/>
      <c r="Q75" s="764"/>
      <c r="R75" s="764"/>
      <c r="S75" s="764"/>
      <c r="T75" s="764"/>
      <c r="U75" s="764"/>
      <c r="V75" s="764"/>
      <c r="W75" s="764"/>
      <c r="X75" s="764"/>
      <c r="Y75" s="764"/>
      <c r="Z75" s="764"/>
      <c r="AA75" s="746"/>
      <c r="AB75" s="746"/>
      <c r="AC75" s="746"/>
      <c r="AD75" s="746"/>
      <c r="AE75" s="746"/>
      <c r="AF75" s="746"/>
      <c r="AG75" s="746"/>
      <c r="AH75" s="746"/>
      <c r="AI75" s="746"/>
      <c r="AJ75" s="746"/>
      <c r="AK75" s="746"/>
      <c r="AL75" s="746"/>
      <c r="AM75" s="746"/>
      <c r="AN75" s="746"/>
      <c r="AO75" s="746"/>
      <c r="AP75" s="746"/>
      <c r="AQ75" s="746"/>
      <c r="AR75" s="746"/>
    </row>
    <row r="76" spans="1:44" x14ac:dyDescent="0.35">
      <c r="A76" s="746"/>
      <c r="B76" s="351"/>
      <c r="C76" s="351"/>
      <c r="D76" s="351"/>
      <c r="E76" s="351"/>
      <c r="F76" s="351"/>
      <c r="G76" s="351"/>
      <c r="H76" s="367"/>
      <c r="I76" s="764"/>
      <c r="J76" s="764"/>
      <c r="K76" s="797"/>
      <c r="L76" s="764"/>
      <c r="M76" s="764"/>
      <c r="N76" s="764"/>
      <c r="O76" s="764"/>
      <c r="P76" s="764"/>
      <c r="Q76" s="764"/>
      <c r="R76" s="764"/>
      <c r="S76" s="764"/>
      <c r="T76" s="764"/>
      <c r="U76" s="764"/>
      <c r="V76" s="764"/>
      <c r="W76" s="764"/>
      <c r="X76" s="764"/>
      <c r="Y76" s="764"/>
      <c r="Z76" s="764"/>
      <c r="AA76" s="746"/>
      <c r="AB76" s="746"/>
      <c r="AC76" s="746"/>
      <c r="AD76" s="746"/>
      <c r="AE76" s="746"/>
      <c r="AF76" s="746"/>
      <c r="AG76" s="746"/>
      <c r="AH76" s="746"/>
      <c r="AI76" s="746"/>
      <c r="AJ76" s="746"/>
      <c r="AK76" s="746"/>
      <c r="AL76" s="746"/>
      <c r="AM76" s="746"/>
      <c r="AN76" s="746"/>
      <c r="AO76" s="746"/>
      <c r="AP76" s="746"/>
      <c r="AQ76" s="746"/>
      <c r="AR76" s="746"/>
    </row>
    <row r="77" spans="1:44" x14ac:dyDescent="0.35">
      <c r="A77" s="746"/>
      <c r="B77" s="351"/>
      <c r="C77" s="351"/>
      <c r="D77" s="351"/>
      <c r="E77" s="351"/>
      <c r="F77" s="351"/>
      <c r="G77" s="351"/>
      <c r="H77" s="367"/>
      <c r="I77" s="764"/>
      <c r="J77" s="764"/>
      <c r="K77" s="746"/>
      <c r="L77" s="746"/>
      <c r="M77" s="746"/>
      <c r="N77" s="746"/>
      <c r="O77" s="746"/>
      <c r="P77" s="746"/>
      <c r="Q77" s="746"/>
      <c r="R77" s="746"/>
      <c r="S77" s="746"/>
      <c r="T77" s="746"/>
      <c r="U77" s="778"/>
      <c r="V77" s="746"/>
      <c r="W77" s="746"/>
      <c r="X77" s="746"/>
      <c r="Y77" s="764"/>
      <c r="Z77" s="764"/>
      <c r="AA77" s="746"/>
      <c r="AB77" s="746"/>
      <c r="AC77" s="746"/>
      <c r="AD77" s="746"/>
      <c r="AE77" s="746"/>
      <c r="AF77" s="746"/>
      <c r="AG77" s="746"/>
      <c r="AH77" s="746"/>
      <c r="AI77" s="746"/>
      <c r="AJ77" s="746"/>
      <c r="AK77" s="746"/>
      <c r="AL77" s="746"/>
      <c r="AM77" s="746"/>
      <c r="AN77" s="746"/>
      <c r="AO77" s="746"/>
      <c r="AP77" s="746"/>
      <c r="AQ77" s="746"/>
      <c r="AR77" s="746"/>
    </row>
    <row r="78" spans="1:44" x14ac:dyDescent="0.35">
      <c r="A78" s="746"/>
      <c r="B78" s="351"/>
      <c r="C78" s="351"/>
      <c r="D78" s="351"/>
      <c r="E78" s="351"/>
      <c r="F78" s="351"/>
      <c r="G78" s="351"/>
      <c r="H78" s="367"/>
      <c r="I78" s="764"/>
      <c r="J78" s="764"/>
      <c r="K78" s="746"/>
      <c r="L78" s="746"/>
      <c r="M78" s="746"/>
      <c r="N78" s="746"/>
      <c r="O78" s="746"/>
      <c r="P78" s="746"/>
      <c r="Q78" s="746"/>
      <c r="R78" s="746"/>
      <c r="S78" s="746"/>
      <c r="T78" s="746"/>
      <c r="U78" s="778"/>
      <c r="V78" s="746"/>
      <c r="W78" s="746"/>
      <c r="X78" s="746"/>
      <c r="Y78" s="764"/>
      <c r="Z78" s="764"/>
      <c r="AA78" s="746"/>
      <c r="AB78" s="746"/>
      <c r="AC78" s="746"/>
      <c r="AD78" s="746"/>
      <c r="AE78" s="746"/>
      <c r="AF78" s="746"/>
      <c r="AG78" s="746"/>
      <c r="AH78" s="746"/>
      <c r="AI78" s="746"/>
      <c r="AJ78" s="746"/>
      <c r="AK78" s="746"/>
      <c r="AL78" s="746"/>
      <c r="AM78" s="746"/>
      <c r="AN78" s="746"/>
      <c r="AO78" s="746"/>
      <c r="AP78" s="746"/>
      <c r="AQ78" s="746"/>
      <c r="AR78" s="746"/>
    </row>
    <row r="79" spans="1:44" x14ac:dyDescent="0.35">
      <c r="A79" s="746"/>
      <c r="B79" s="351"/>
      <c r="C79" s="351"/>
      <c r="D79" s="351"/>
      <c r="E79" s="351"/>
      <c r="F79" s="351"/>
      <c r="G79" s="351"/>
      <c r="H79" s="367"/>
      <c r="I79" s="764"/>
      <c r="J79" s="764"/>
      <c r="K79" s="746"/>
      <c r="L79" s="746"/>
      <c r="M79" s="746"/>
      <c r="N79" s="746"/>
      <c r="O79" s="746"/>
      <c r="P79" s="746"/>
      <c r="Q79" s="746"/>
      <c r="R79" s="746"/>
      <c r="S79" s="746"/>
      <c r="T79" s="746"/>
      <c r="U79" s="778"/>
      <c r="V79" s="746"/>
      <c r="W79" s="746"/>
      <c r="X79" s="746"/>
      <c r="Y79" s="764"/>
      <c r="Z79" s="764"/>
      <c r="AA79" s="746"/>
      <c r="AB79" s="746"/>
      <c r="AC79" s="746"/>
      <c r="AD79" s="746"/>
      <c r="AE79" s="746"/>
      <c r="AF79" s="746"/>
      <c r="AG79" s="746"/>
      <c r="AH79" s="746"/>
      <c r="AI79" s="746"/>
      <c r="AJ79" s="746"/>
      <c r="AK79" s="746"/>
      <c r="AL79" s="746"/>
      <c r="AM79" s="746"/>
      <c r="AN79" s="746"/>
      <c r="AO79" s="746"/>
      <c r="AP79" s="746"/>
      <c r="AQ79" s="746"/>
      <c r="AR79" s="746"/>
    </row>
    <row r="80" spans="1:44" x14ac:dyDescent="0.35">
      <c r="A80" s="746"/>
      <c r="B80" s="351"/>
      <c r="C80" s="351"/>
      <c r="D80" s="351"/>
      <c r="E80" s="351"/>
      <c r="F80" s="351"/>
      <c r="G80" s="351"/>
      <c r="H80" s="367"/>
      <c r="I80" s="764"/>
      <c r="J80" s="764"/>
      <c r="K80" s="746"/>
      <c r="L80" s="746"/>
      <c r="M80" s="746"/>
      <c r="N80" s="746"/>
      <c r="O80" s="746"/>
      <c r="P80" s="746"/>
      <c r="Q80" s="746"/>
      <c r="R80" s="746"/>
      <c r="S80" s="746"/>
      <c r="T80" s="746"/>
      <c r="U80" s="778"/>
      <c r="V80" s="746"/>
      <c r="W80" s="746"/>
      <c r="X80" s="746"/>
      <c r="Y80" s="764"/>
      <c r="Z80" s="764"/>
      <c r="AA80" s="746"/>
      <c r="AB80" s="746"/>
      <c r="AC80" s="746"/>
      <c r="AD80" s="746"/>
      <c r="AE80" s="746"/>
      <c r="AF80" s="746"/>
      <c r="AG80" s="746"/>
      <c r="AH80" s="746"/>
      <c r="AI80" s="746"/>
      <c r="AJ80" s="746"/>
      <c r="AK80" s="746"/>
      <c r="AL80" s="746"/>
      <c r="AM80" s="746"/>
      <c r="AN80" s="746"/>
      <c r="AO80" s="746"/>
      <c r="AP80" s="746"/>
      <c r="AQ80" s="746"/>
      <c r="AR80" s="746"/>
    </row>
    <row r="81" spans="1:44" x14ac:dyDescent="0.35">
      <c r="A81" s="746"/>
      <c r="B81" s="351"/>
      <c r="C81" s="351"/>
      <c r="D81" s="351"/>
      <c r="E81" s="351"/>
      <c r="F81" s="351"/>
      <c r="G81" s="351"/>
      <c r="H81" s="356"/>
      <c r="I81" s="749"/>
      <c r="J81" s="749"/>
      <c r="K81" s="746"/>
      <c r="L81" s="746"/>
      <c r="M81" s="746"/>
      <c r="N81" s="746"/>
      <c r="O81" s="746"/>
      <c r="P81" s="746"/>
      <c r="Q81" s="746"/>
      <c r="R81" s="746"/>
      <c r="S81" s="746"/>
      <c r="T81" s="746"/>
      <c r="U81" s="778"/>
      <c r="V81" s="746"/>
      <c r="W81" s="746"/>
      <c r="X81" s="746"/>
      <c r="Y81" s="764"/>
      <c r="Z81" s="764"/>
      <c r="AA81" s="746"/>
      <c r="AB81" s="746"/>
      <c r="AC81" s="746"/>
      <c r="AD81" s="746"/>
      <c r="AE81" s="746"/>
      <c r="AF81" s="746"/>
      <c r="AG81" s="746"/>
      <c r="AH81" s="746"/>
      <c r="AI81" s="746"/>
      <c r="AJ81" s="746"/>
      <c r="AK81" s="746"/>
      <c r="AL81" s="746"/>
      <c r="AM81" s="746"/>
      <c r="AN81" s="746"/>
      <c r="AO81" s="746"/>
      <c r="AP81" s="746"/>
      <c r="AQ81" s="746"/>
      <c r="AR81" s="746"/>
    </row>
    <row r="82" spans="1:44" x14ac:dyDescent="0.35">
      <c r="A82" s="746"/>
      <c r="B82" s="351"/>
      <c r="C82" s="351"/>
      <c r="D82" s="351"/>
      <c r="E82" s="351"/>
      <c r="F82" s="351"/>
      <c r="G82" s="351"/>
      <c r="H82" s="356"/>
      <c r="I82" s="749"/>
      <c r="J82" s="749"/>
      <c r="K82" s="746"/>
      <c r="L82" s="746"/>
      <c r="M82" s="746"/>
      <c r="N82" s="746"/>
      <c r="O82" s="746"/>
      <c r="P82" s="746"/>
      <c r="Q82" s="746"/>
      <c r="R82" s="746"/>
      <c r="S82" s="746"/>
      <c r="T82" s="746"/>
      <c r="U82" s="778"/>
      <c r="V82" s="746"/>
      <c r="W82" s="746"/>
      <c r="X82" s="746"/>
      <c r="Y82" s="764"/>
      <c r="Z82" s="764"/>
      <c r="AA82" s="746"/>
      <c r="AB82" s="746"/>
      <c r="AC82" s="746"/>
      <c r="AD82" s="746"/>
      <c r="AE82" s="746"/>
      <c r="AF82" s="746"/>
      <c r="AG82" s="746"/>
      <c r="AH82" s="746"/>
      <c r="AI82" s="746"/>
      <c r="AJ82" s="746"/>
      <c r="AK82" s="746"/>
      <c r="AL82" s="746"/>
      <c r="AM82" s="746"/>
      <c r="AN82" s="746"/>
      <c r="AO82" s="746"/>
      <c r="AP82" s="746"/>
      <c r="AQ82" s="746"/>
      <c r="AR82" s="746"/>
    </row>
    <row r="83" spans="1:44" x14ac:dyDescent="0.35">
      <c r="A83" s="746"/>
      <c r="B83" s="351"/>
      <c r="C83" s="351"/>
      <c r="D83" s="351"/>
      <c r="E83" s="351"/>
      <c r="F83" s="351"/>
      <c r="G83" s="351"/>
      <c r="H83" s="356"/>
      <c r="I83" s="749"/>
      <c r="J83" s="749"/>
      <c r="K83" s="749"/>
      <c r="L83" s="746"/>
      <c r="M83" s="746"/>
      <c r="N83" s="746"/>
      <c r="O83" s="746"/>
      <c r="P83" s="746"/>
      <c r="Q83" s="746"/>
      <c r="R83" s="746"/>
      <c r="S83" s="746"/>
      <c r="T83" s="746"/>
      <c r="U83" s="746"/>
      <c r="V83" s="746"/>
      <c r="W83" s="746"/>
      <c r="X83" s="746"/>
      <c r="Y83" s="764"/>
      <c r="Z83" s="764"/>
      <c r="AA83" s="746"/>
      <c r="AB83" s="746"/>
      <c r="AC83" s="746"/>
      <c r="AD83" s="746"/>
      <c r="AE83" s="746"/>
      <c r="AF83" s="746"/>
      <c r="AG83" s="746"/>
      <c r="AH83" s="746"/>
      <c r="AI83" s="746"/>
      <c r="AJ83" s="746"/>
      <c r="AK83" s="746"/>
      <c r="AL83" s="746"/>
      <c r="AM83" s="746"/>
      <c r="AN83" s="746"/>
      <c r="AO83" s="746"/>
      <c r="AP83" s="746"/>
      <c r="AQ83" s="746"/>
      <c r="AR83" s="746"/>
    </row>
    <row r="84" spans="1:44" x14ac:dyDescent="0.35">
      <c r="A84" s="746"/>
      <c r="B84" s="351"/>
      <c r="C84" s="351"/>
      <c r="D84" s="351"/>
      <c r="E84" s="351"/>
      <c r="F84" s="351"/>
      <c r="G84" s="351"/>
      <c r="H84" s="356"/>
      <c r="I84" s="749"/>
      <c r="J84" s="749"/>
      <c r="K84" s="749"/>
      <c r="L84" s="746"/>
      <c r="M84" s="746"/>
      <c r="N84" s="746"/>
      <c r="O84" s="746"/>
      <c r="P84" s="746"/>
      <c r="Q84" s="746"/>
      <c r="R84" s="746"/>
      <c r="S84" s="746"/>
      <c r="T84" s="746"/>
      <c r="U84" s="746"/>
      <c r="V84" s="746"/>
      <c r="W84" s="746"/>
      <c r="X84" s="746"/>
      <c r="Y84" s="764"/>
      <c r="Z84" s="764"/>
      <c r="AA84" s="746"/>
      <c r="AB84" s="746"/>
      <c r="AC84" s="746"/>
      <c r="AD84" s="746"/>
      <c r="AE84" s="746"/>
      <c r="AF84" s="746"/>
      <c r="AG84" s="746"/>
      <c r="AH84" s="746"/>
      <c r="AI84" s="746"/>
      <c r="AJ84" s="746"/>
      <c r="AK84" s="746"/>
      <c r="AL84" s="746"/>
      <c r="AM84" s="746"/>
      <c r="AN84" s="746"/>
      <c r="AO84" s="746"/>
      <c r="AP84" s="746"/>
      <c r="AQ84" s="746"/>
      <c r="AR84" s="746"/>
    </row>
    <row r="85" spans="1:44" x14ac:dyDescent="0.35">
      <c r="A85" s="746"/>
      <c r="B85" s="351"/>
      <c r="C85" s="351"/>
      <c r="D85" s="351"/>
      <c r="E85" s="351"/>
      <c r="F85" s="351"/>
      <c r="G85" s="351"/>
      <c r="H85" s="356"/>
      <c r="I85" s="749"/>
      <c r="J85" s="749"/>
      <c r="K85" s="749"/>
      <c r="L85" s="764"/>
      <c r="M85" s="764"/>
      <c r="N85" s="764"/>
      <c r="O85" s="764"/>
      <c r="P85" s="764"/>
      <c r="Q85" s="764"/>
      <c r="R85" s="764"/>
      <c r="S85" s="764"/>
      <c r="T85" s="764"/>
      <c r="U85" s="764"/>
      <c r="V85" s="764"/>
      <c r="W85" s="764"/>
      <c r="X85" s="764"/>
      <c r="Y85" s="764"/>
      <c r="Z85" s="764"/>
      <c r="AA85" s="746"/>
      <c r="AB85" s="746"/>
      <c r="AC85" s="746"/>
      <c r="AD85" s="746"/>
      <c r="AE85" s="746"/>
      <c r="AF85" s="746"/>
      <c r="AG85" s="746"/>
      <c r="AH85" s="746"/>
      <c r="AI85" s="746"/>
      <c r="AJ85" s="746"/>
      <c r="AK85" s="746"/>
      <c r="AL85" s="746"/>
      <c r="AM85" s="746"/>
      <c r="AN85" s="746"/>
      <c r="AO85" s="746"/>
      <c r="AP85" s="746"/>
      <c r="AQ85" s="746"/>
      <c r="AR85" s="746"/>
    </row>
    <row r="86" spans="1:44" x14ac:dyDescent="0.35">
      <c r="A86" s="746"/>
      <c r="B86" s="351"/>
      <c r="C86" s="351"/>
      <c r="D86" s="351"/>
      <c r="E86" s="351"/>
      <c r="F86" s="351"/>
      <c r="G86" s="351"/>
      <c r="H86" s="356"/>
      <c r="I86" s="749"/>
      <c r="J86" s="749"/>
      <c r="K86" s="749"/>
      <c r="L86" s="746"/>
      <c r="M86" s="746"/>
      <c r="N86" s="746"/>
      <c r="O86" s="746"/>
      <c r="P86" s="746"/>
      <c r="Q86" s="746"/>
      <c r="R86" s="746"/>
      <c r="S86" s="746"/>
      <c r="T86" s="746"/>
      <c r="U86" s="746"/>
      <c r="V86" s="746"/>
      <c r="W86" s="746"/>
      <c r="X86" s="746"/>
      <c r="Y86" s="746"/>
      <c r="Z86" s="746"/>
      <c r="AA86" s="746"/>
      <c r="AB86" s="746"/>
      <c r="AC86" s="746"/>
      <c r="AD86" s="746"/>
      <c r="AE86" s="746"/>
      <c r="AF86" s="746"/>
      <c r="AG86" s="746"/>
      <c r="AH86" s="746"/>
      <c r="AI86" s="746"/>
      <c r="AJ86" s="746"/>
      <c r="AK86" s="746"/>
      <c r="AL86" s="746"/>
      <c r="AM86" s="746"/>
      <c r="AN86" s="746"/>
      <c r="AO86" s="746"/>
      <c r="AP86" s="746"/>
      <c r="AQ86" s="746"/>
      <c r="AR86" s="746"/>
    </row>
    <row r="87" spans="1:44" x14ac:dyDescent="0.35">
      <c r="A87" s="746"/>
      <c r="B87" s="351"/>
      <c r="C87" s="351"/>
      <c r="D87" s="351"/>
      <c r="E87" s="351"/>
      <c r="F87" s="351"/>
      <c r="G87" s="351"/>
      <c r="H87" s="356"/>
      <c r="I87" s="749"/>
      <c r="J87" s="749"/>
      <c r="K87" s="749"/>
      <c r="L87" s="746"/>
      <c r="M87" s="746"/>
      <c r="N87" s="746"/>
      <c r="O87" s="746"/>
      <c r="P87" s="746"/>
      <c r="Q87" s="746"/>
      <c r="R87" s="746"/>
      <c r="S87" s="746"/>
      <c r="T87" s="746"/>
      <c r="U87" s="746"/>
      <c r="V87" s="746"/>
      <c r="W87" s="746"/>
      <c r="X87" s="746"/>
      <c r="Y87" s="746"/>
      <c r="Z87" s="746"/>
      <c r="AA87" s="746"/>
      <c r="AB87" s="746"/>
      <c r="AC87" s="746"/>
      <c r="AD87" s="746"/>
      <c r="AE87" s="746"/>
      <c r="AF87" s="746"/>
      <c r="AG87" s="746"/>
      <c r="AH87" s="746"/>
      <c r="AI87" s="746"/>
      <c r="AJ87" s="746"/>
      <c r="AK87" s="746"/>
      <c r="AL87" s="746"/>
      <c r="AM87" s="746"/>
      <c r="AN87" s="746"/>
      <c r="AO87" s="746"/>
      <c r="AP87" s="746"/>
      <c r="AQ87" s="746"/>
      <c r="AR87" s="746"/>
    </row>
    <row r="88" spans="1:44" x14ac:dyDescent="0.35">
      <c r="A88" s="746"/>
      <c r="B88" s="351"/>
      <c r="C88" s="351"/>
      <c r="D88" s="351"/>
      <c r="E88" s="351"/>
      <c r="F88" s="351"/>
      <c r="G88" s="351"/>
      <c r="H88" s="356"/>
      <c r="I88" s="749"/>
      <c r="J88" s="749"/>
      <c r="K88" s="749"/>
      <c r="L88" s="746"/>
      <c r="M88" s="746"/>
      <c r="N88" s="746"/>
      <c r="O88" s="746"/>
      <c r="P88" s="746"/>
      <c r="Q88" s="746"/>
      <c r="R88" s="746"/>
      <c r="S88" s="746"/>
      <c r="T88" s="746"/>
      <c r="U88" s="746"/>
      <c r="V88" s="746"/>
      <c r="W88" s="746"/>
      <c r="X88" s="746"/>
      <c r="Y88" s="746"/>
      <c r="Z88" s="746"/>
      <c r="AA88" s="746"/>
      <c r="AB88" s="746"/>
      <c r="AC88" s="746"/>
      <c r="AD88" s="746"/>
      <c r="AE88" s="746"/>
      <c r="AF88" s="746"/>
      <c r="AG88" s="746"/>
      <c r="AH88" s="746"/>
      <c r="AI88" s="746"/>
      <c r="AJ88" s="746"/>
      <c r="AK88" s="746"/>
      <c r="AL88" s="746"/>
      <c r="AM88" s="746"/>
      <c r="AN88" s="746"/>
      <c r="AO88" s="746"/>
      <c r="AP88" s="746"/>
      <c r="AQ88" s="746"/>
      <c r="AR88" s="746"/>
    </row>
    <row r="89" spans="1:44" x14ac:dyDescent="0.35">
      <c r="A89" s="746"/>
      <c r="B89" s="351"/>
      <c r="C89" s="351"/>
      <c r="D89" s="351"/>
      <c r="E89" s="351"/>
      <c r="F89" s="351"/>
      <c r="G89" s="351"/>
      <c r="H89" s="377"/>
      <c r="I89" s="797"/>
      <c r="J89" s="797"/>
      <c r="K89" s="749"/>
      <c r="L89" s="746"/>
      <c r="M89" s="746"/>
      <c r="N89" s="746"/>
      <c r="O89" s="746"/>
      <c r="P89" s="746"/>
      <c r="Q89" s="746"/>
      <c r="R89" s="746"/>
      <c r="S89" s="746"/>
      <c r="T89" s="746"/>
      <c r="U89" s="746"/>
      <c r="V89" s="746"/>
      <c r="W89" s="746"/>
      <c r="X89" s="746"/>
      <c r="Y89" s="746"/>
      <c r="Z89" s="746"/>
      <c r="AA89" s="746"/>
      <c r="AB89" s="746"/>
      <c r="AC89" s="746"/>
      <c r="AD89" s="746"/>
      <c r="AE89" s="746"/>
      <c r="AF89" s="746"/>
      <c r="AG89" s="746"/>
      <c r="AH89" s="746"/>
      <c r="AI89" s="746"/>
      <c r="AJ89" s="746"/>
      <c r="AK89" s="746"/>
      <c r="AL89" s="746"/>
      <c r="AM89" s="746"/>
      <c r="AN89" s="746"/>
      <c r="AO89" s="746"/>
      <c r="AP89" s="746"/>
      <c r="AQ89" s="746"/>
      <c r="AR89" s="746"/>
    </row>
    <row r="90" spans="1:44" x14ac:dyDescent="0.35">
      <c r="A90" s="746"/>
      <c r="B90" s="351"/>
      <c r="C90" s="351"/>
      <c r="D90" s="351"/>
      <c r="E90" s="351"/>
      <c r="F90" s="351"/>
      <c r="G90" s="351"/>
      <c r="H90" s="351"/>
      <c r="I90" s="746"/>
      <c r="J90" s="746"/>
      <c r="K90" s="749"/>
      <c r="L90" s="746"/>
      <c r="M90" s="746"/>
      <c r="N90" s="746"/>
      <c r="O90" s="746"/>
      <c r="P90" s="746"/>
      <c r="Q90" s="746"/>
      <c r="R90" s="746"/>
      <c r="S90" s="746"/>
      <c r="T90" s="746"/>
      <c r="U90" s="746"/>
      <c r="V90" s="746"/>
      <c r="W90" s="746"/>
      <c r="X90" s="746"/>
      <c r="Y90" s="746"/>
      <c r="Z90" s="746"/>
      <c r="AA90" s="746"/>
      <c r="AB90" s="746"/>
      <c r="AC90" s="746"/>
      <c r="AD90" s="746"/>
      <c r="AE90" s="746"/>
      <c r="AF90" s="746"/>
      <c r="AG90" s="746"/>
      <c r="AH90" s="746"/>
      <c r="AI90" s="746"/>
      <c r="AJ90" s="746"/>
      <c r="AK90" s="746"/>
      <c r="AL90" s="746"/>
      <c r="AM90" s="746"/>
      <c r="AN90" s="746"/>
      <c r="AO90" s="746"/>
      <c r="AP90" s="746"/>
      <c r="AQ90" s="746"/>
      <c r="AR90" s="746"/>
    </row>
    <row r="91" spans="1:44" x14ac:dyDescent="0.35">
      <c r="A91" s="746"/>
      <c r="B91" s="351"/>
      <c r="C91" s="351"/>
      <c r="D91" s="351"/>
      <c r="E91" s="351"/>
      <c r="F91" s="351"/>
      <c r="G91" s="351"/>
      <c r="H91" s="351"/>
      <c r="I91" s="746"/>
      <c r="J91" s="746"/>
      <c r="K91" s="749"/>
      <c r="L91" s="746"/>
      <c r="M91" s="746"/>
      <c r="N91" s="746"/>
      <c r="O91" s="746"/>
      <c r="P91" s="746"/>
      <c r="Q91" s="746"/>
      <c r="R91" s="746"/>
      <c r="S91" s="746"/>
      <c r="T91" s="746"/>
      <c r="U91" s="746"/>
      <c r="V91" s="746"/>
      <c r="W91" s="746"/>
      <c r="X91" s="746"/>
      <c r="Y91" s="746"/>
      <c r="Z91" s="746"/>
      <c r="AA91" s="746"/>
      <c r="AB91" s="746"/>
      <c r="AC91" s="746"/>
      <c r="AD91" s="746"/>
      <c r="AE91" s="746"/>
      <c r="AF91" s="746"/>
      <c r="AG91" s="746"/>
      <c r="AH91" s="746"/>
      <c r="AI91" s="746"/>
      <c r="AJ91" s="746"/>
      <c r="AK91" s="746"/>
      <c r="AL91" s="746"/>
      <c r="AM91" s="746"/>
      <c r="AN91" s="746"/>
      <c r="AO91" s="746"/>
      <c r="AP91" s="746"/>
      <c r="AQ91" s="746"/>
      <c r="AR91" s="746"/>
    </row>
    <row r="92" spans="1:44" x14ac:dyDescent="0.35">
      <c r="A92" s="746"/>
      <c r="B92" s="351"/>
      <c r="C92" s="351"/>
      <c r="D92" s="351"/>
      <c r="E92" s="351"/>
      <c r="F92" s="351"/>
      <c r="G92" s="351"/>
      <c r="H92" s="351"/>
      <c r="I92" s="746"/>
      <c r="J92" s="746"/>
      <c r="K92" s="749"/>
      <c r="L92" s="746"/>
      <c r="M92" s="746"/>
      <c r="N92" s="746"/>
      <c r="O92" s="746"/>
      <c r="P92" s="746"/>
      <c r="Q92" s="746"/>
      <c r="R92" s="746"/>
      <c r="S92" s="746"/>
      <c r="T92" s="746"/>
      <c r="U92" s="746"/>
      <c r="V92" s="746"/>
      <c r="W92" s="746"/>
      <c r="X92" s="746"/>
      <c r="Y92" s="746"/>
      <c r="Z92" s="746"/>
      <c r="AA92" s="746"/>
      <c r="AB92" s="746"/>
      <c r="AC92" s="746"/>
      <c r="AD92" s="746"/>
      <c r="AE92" s="746"/>
      <c r="AF92" s="746"/>
      <c r="AG92" s="746"/>
      <c r="AH92" s="746"/>
      <c r="AI92" s="746"/>
      <c r="AJ92" s="746"/>
      <c r="AK92" s="746"/>
      <c r="AL92" s="746"/>
      <c r="AM92" s="746"/>
      <c r="AN92" s="746"/>
      <c r="AO92" s="746"/>
      <c r="AP92" s="746"/>
      <c r="AQ92" s="746"/>
      <c r="AR92" s="746"/>
    </row>
    <row r="93" spans="1:44" x14ac:dyDescent="0.35">
      <c r="A93" s="746"/>
      <c r="B93" s="351"/>
      <c r="C93" s="351"/>
      <c r="D93" s="351"/>
      <c r="E93" s="351"/>
      <c r="F93" s="351"/>
      <c r="G93" s="351"/>
      <c r="H93" s="351"/>
      <c r="I93" s="746"/>
      <c r="J93" s="746"/>
      <c r="K93" s="749"/>
      <c r="L93" s="746"/>
      <c r="M93" s="746"/>
      <c r="N93" s="746"/>
      <c r="O93" s="746"/>
      <c r="P93" s="746"/>
      <c r="Q93" s="746"/>
      <c r="R93" s="746"/>
      <c r="S93" s="746"/>
      <c r="T93" s="746"/>
      <c r="U93" s="746"/>
      <c r="V93" s="746"/>
      <c r="W93" s="746"/>
      <c r="X93" s="746"/>
      <c r="Y93" s="746"/>
      <c r="Z93" s="746"/>
      <c r="AA93" s="746"/>
      <c r="AB93" s="746"/>
      <c r="AC93" s="746"/>
      <c r="AD93" s="746"/>
      <c r="AE93" s="746"/>
      <c r="AF93" s="746"/>
      <c r="AG93" s="746"/>
      <c r="AH93" s="746"/>
      <c r="AI93" s="746"/>
      <c r="AJ93" s="746"/>
      <c r="AK93" s="746"/>
      <c r="AL93" s="746"/>
      <c r="AM93" s="746"/>
      <c r="AN93" s="746"/>
      <c r="AO93" s="746"/>
      <c r="AP93" s="746"/>
      <c r="AQ93" s="746"/>
      <c r="AR93" s="746"/>
    </row>
    <row r="94" spans="1:44" x14ac:dyDescent="0.35">
      <c r="A94" s="746"/>
      <c r="B94" s="351"/>
      <c r="C94" s="351"/>
      <c r="D94" s="351"/>
      <c r="E94" s="351"/>
      <c r="F94" s="351"/>
      <c r="G94" s="351"/>
      <c r="H94" s="351"/>
      <c r="I94" s="746"/>
      <c r="J94" s="746"/>
      <c r="K94" s="749"/>
      <c r="L94" s="746"/>
      <c r="M94" s="746"/>
      <c r="N94" s="746"/>
      <c r="O94" s="746"/>
      <c r="P94" s="746"/>
      <c r="Q94" s="746"/>
      <c r="R94" s="746"/>
      <c r="S94" s="746"/>
      <c r="T94" s="746"/>
      <c r="U94" s="746"/>
      <c r="V94" s="746"/>
      <c r="W94" s="746"/>
      <c r="X94" s="746"/>
      <c r="Y94" s="746"/>
      <c r="Z94" s="746"/>
      <c r="AA94" s="746"/>
      <c r="AB94" s="746"/>
      <c r="AC94" s="746"/>
      <c r="AD94" s="746"/>
      <c r="AE94" s="746"/>
      <c r="AF94" s="746"/>
      <c r="AG94" s="746"/>
      <c r="AH94" s="746"/>
      <c r="AI94" s="746"/>
      <c r="AJ94" s="746"/>
      <c r="AK94" s="746"/>
      <c r="AL94" s="746"/>
      <c r="AM94" s="746"/>
      <c r="AN94" s="746"/>
      <c r="AO94" s="746"/>
      <c r="AP94" s="746"/>
      <c r="AQ94" s="746"/>
      <c r="AR94" s="746"/>
    </row>
    <row r="95" spans="1:44" x14ac:dyDescent="0.35">
      <c r="A95" s="746"/>
      <c r="B95" s="351"/>
      <c r="C95" s="351"/>
      <c r="D95" s="351"/>
      <c r="E95" s="351"/>
      <c r="F95" s="351"/>
      <c r="G95" s="351"/>
      <c r="H95" s="351"/>
      <c r="I95" s="746"/>
      <c r="J95" s="746"/>
      <c r="K95" s="749"/>
      <c r="L95" s="746"/>
      <c r="M95" s="746"/>
      <c r="N95" s="746"/>
      <c r="O95" s="746"/>
      <c r="P95" s="746"/>
      <c r="Q95" s="746"/>
      <c r="R95" s="746"/>
      <c r="S95" s="746"/>
      <c r="T95" s="746"/>
      <c r="U95" s="746"/>
      <c r="V95" s="746"/>
      <c r="W95" s="746"/>
      <c r="X95" s="746"/>
      <c r="Y95" s="746"/>
      <c r="Z95" s="746"/>
      <c r="AA95" s="746"/>
      <c r="AB95" s="746"/>
      <c r="AC95" s="746"/>
      <c r="AD95" s="746"/>
      <c r="AE95" s="746"/>
      <c r="AF95" s="746"/>
      <c r="AG95" s="746"/>
      <c r="AH95" s="746"/>
      <c r="AI95" s="746"/>
      <c r="AJ95" s="746"/>
      <c r="AK95" s="746"/>
      <c r="AL95" s="746"/>
      <c r="AM95" s="746"/>
      <c r="AN95" s="746"/>
      <c r="AO95" s="746"/>
      <c r="AP95" s="746"/>
      <c r="AQ95" s="746"/>
      <c r="AR95" s="746"/>
    </row>
    <row r="96" spans="1:44" x14ac:dyDescent="0.35">
      <c r="A96" s="746"/>
      <c r="B96" s="351"/>
      <c r="C96" s="351"/>
      <c r="D96" s="351"/>
      <c r="E96" s="351"/>
      <c r="F96" s="351"/>
      <c r="G96" s="351"/>
      <c r="H96" s="351"/>
      <c r="I96" s="746"/>
      <c r="J96" s="746"/>
      <c r="K96" s="749"/>
      <c r="L96" s="749"/>
      <c r="M96" s="749"/>
      <c r="N96" s="746"/>
      <c r="O96" s="746"/>
      <c r="P96" s="746"/>
      <c r="Q96" s="746"/>
      <c r="R96" s="746"/>
      <c r="S96" s="746"/>
      <c r="T96" s="746"/>
      <c r="U96" s="746"/>
      <c r="V96" s="746"/>
      <c r="W96" s="746"/>
      <c r="X96" s="746"/>
      <c r="Y96" s="746"/>
      <c r="Z96" s="746"/>
      <c r="AA96" s="746"/>
      <c r="AB96" s="746"/>
      <c r="AC96" s="746"/>
      <c r="AD96" s="746"/>
      <c r="AE96" s="746"/>
      <c r="AF96" s="746"/>
      <c r="AG96" s="746"/>
      <c r="AH96" s="746"/>
      <c r="AI96" s="746"/>
      <c r="AJ96" s="746"/>
      <c r="AK96" s="746"/>
      <c r="AL96" s="746"/>
      <c r="AM96" s="746"/>
      <c r="AN96" s="746"/>
      <c r="AO96" s="746"/>
      <c r="AP96" s="746"/>
      <c r="AQ96" s="746"/>
      <c r="AR96" s="746"/>
    </row>
    <row r="97" spans="1:44" x14ac:dyDescent="0.35">
      <c r="A97" s="746"/>
      <c r="B97" s="351"/>
      <c r="C97" s="351"/>
      <c r="D97" s="351"/>
      <c r="E97" s="351"/>
      <c r="F97" s="351"/>
      <c r="G97" s="351"/>
      <c r="H97" s="351"/>
      <c r="I97" s="746"/>
      <c r="J97" s="746"/>
      <c r="K97" s="749"/>
      <c r="L97" s="749"/>
      <c r="M97" s="749"/>
      <c r="N97" s="746"/>
      <c r="O97" s="746"/>
      <c r="P97" s="746"/>
      <c r="Q97" s="746"/>
      <c r="R97" s="746"/>
      <c r="S97" s="746"/>
      <c r="T97" s="746"/>
      <c r="U97" s="746"/>
      <c r="V97" s="746"/>
      <c r="W97" s="746"/>
      <c r="X97" s="746"/>
      <c r="Y97" s="746"/>
      <c r="Z97" s="746"/>
      <c r="AA97" s="746"/>
      <c r="AB97" s="746"/>
      <c r="AC97" s="746"/>
      <c r="AD97" s="746"/>
      <c r="AE97" s="746"/>
      <c r="AF97" s="746"/>
      <c r="AG97" s="746"/>
      <c r="AH97" s="746"/>
      <c r="AI97" s="746"/>
      <c r="AJ97" s="746"/>
      <c r="AK97" s="746"/>
      <c r="AL97" s="746"/>
      <c r="AM97" s="746"/>
      <c r="AN97" s="746"/>
      <c r="AO97" s="746"/>
      <c r="AP97" s="746"/>
      <c r="AQ97" s="746"/>
      <c r="AR97" s="746"/>
    </row>
    <row r="98" spans="1:44" x14ac:dyDescent="0.35">
      <c r="A98" s="746"/>
      <c r="B98" s="351"/>
      <c r="C98" s="351"/>
      <c r="D98" s="351"/>
      <c r="E98" s="351"/>
      <c r="F98" s="351"/>
      <c r="G98" s="351"/>
      <c r="H98" s="351"/>
      <c r="I98" s="746"/>
      <c r="J98" s="746"/>
      <c r="K98" s="749"/>
      <c r="L98" s="749"/>
      <c r="M98" s="749"/>
      <c r="N98" s="746"/>
      <c r="O98" s="746"/>
      <c r="P98" s="746"/>
      <c r="Q98" s="746"/>
      <c r="R98" s="746"/>
      <c r="S98" s="746"/>
      <c r="T98" s="746"/>
      <c r="U98" s="746"/>
      <c r="V98" s="746"/>
      <c r="W98" s="746"/>
      <c r="X98" s="746"/>
      <c r="Y98" s="746"/>
      <c r="Z98" s="746"/>
      <c r="AA98" s="746"/>
      <c r="AB98" s="746"/>
      <c r="AC98" s="746"/>
      <c r="AD98" s="746"/>
      <c r="AE98" s="746"/>
      <c r="AF98" s="746"/>
      <c r="AG98" s="746"/>
      <c r="AH98" s="746"/>
      <c r="AI98" s="746"/>
      <c r="AJ98" s="746"/>
      <c r="AK98" s="746"/>
      <c r="AL98" s="746"/>
      <c r="AM98" s="746"/>
      <c r="AN98" s="746"/>
      <c r="AO98" s="746"/>
      <c r="AP98" s="746"/>
      <c r="AQ98" s="746"/>
      <c r="AR98" s="746"/>
    </row>
    <row r="99" spans="1:44" x14ac:dyDescent="0.35">
      <c r="A99" s="746"/>
      <c r="B99" s="351"/>
      <c r="C99" s="351"/>
      <c r="D99" s="351"/>
      <c r="E99" s="351"/>
      <c r="F99" s="351"/>
      <c r="G99" s="351"/>
      <c r="H99" s="351"/>
      <c r="I99" s="746"/>
      <c r="J99" s="746"/>
      <c r="K99" s="749"/>
      <c r="L99" s="749"/>
      <c r="M99" s="749"/>
      <c r="N99" s="746"/>
      <c r="O99" s="746"/>
      <c r="P99" s="746"/>
      <c r="Q99" s="746"/>
      <c r="R99" s="746"/>
      <c r="S99" s="746"/>
      <c r="T99" s="746"/>
      <c r="U99" s="746"/>
      <c r="V99" s="746"/>
      <c r="W99" s="746"/>
      <c r="X99" s="746"/>
      <c r="Y99" s="746"/>
      <c r="Z99" s="746"/>
      <c r="AA99" s="746"/>
      <c r="AB99" s="746"/>
      <c r="AC99" s="746"/>
      <c r="AD99" s="746"/>
      <c r="AE99" s="746"/>
      <c r="AF99" s="746"/>
      <c r="AG99" s="746"/>
      <c r="AH99" s="746"/>
      <c r="AI99" s="746"/>
      <c r="AJ99" s="746"/>
      <c r="AK99" s="746"/>
      <c r="AL99" s="746"/>
      <c r="AM99" s="746"/>
      <c r="AN99" s="746"/>
      <c r="AO99" s="746"/>
      <c r="AP99" s="746"/>
      <c r="AQ99" s="746"/>
      <c r="AR99" s="746"/>
    </row>
    <row r="100" spans="1:44" x14ac:dyDescent="0.35">
      <c r="A100" s="746"/>
      <c r="B100" s="351"/>
      <c r="C100" s="351"/>
      <c r="D100" s="351"/>
      <c r="E100" s="351"/>
      <c r="F100" s="351"/>
      <c r="G100" s="351"/>
      <c r="H100" s="351"/>
      <c r="I100" s="746"/>
      <c r="J100" s="746"/>
      <c r="K100" s="749"/>
      <c r="L100" s="749"/>
      <c r="M100" s="749"/>
      <c r="N100" s="746"/>
      <c r="O100" s="746"/>
      <c r="P100" s="746"/>
      <c r="Q100" s="746"/>
      <c r="R100" s="746"/>
      <c r="S100" s="746"/>
      <c r="T100" s="746"/>
      <c r="U100" s="746"/>
      <c r="V100" s="746"/>
      <c r="W100" s="746"/>
      <c r="X100" s="746"/>
      <c r="Y100" s="746"/>
      <c r="Z100" s="746"/>
      <c r="AA100" s="746"/>
      <c r="AB100" s="746"/>
      <c r="AC100" s="746"/>
      <c r="AD100" s="746"/>
      <c r="AE100" s="746"/>
      <c r="AF100" s="746"/>
      <c r="AG100" s="746"/>
      <c r="AH100" s="746"/>
      <c r="AI100" s="746"/>
      <c r="AJ100" s="746"/>
      <c r="AK100" s="746"/>
      <c r="AL100" s="746"/>
      <c r="AM100" s="746"/>
      <c r="AN100" s="746"/>
      <c r="AO100" s="746"/>
      <c r="AP100" s="746"/>
      <c r="AQ100" s="746"/>
      <c r="AR100" s="746"/>
    </row>
    <row r="101" spans="1:44" x14ac:dyDescent="0.35">
      <c r="B101" s="351"/>
      <c r="C101" s="351"/>
      <c r="D101" s="351"/>
      <c r="E101" s="351"/>
      <c r="F101" s="351"/>
      <c r="G101" s="351"/>
      <c r="H101" s="351"/>
      <c r="I101" s="746"/>
      <c r="J101" s="746"/>
      <c r="K101" s="749"/>
      <c r="L101" s="749"/>
      <c r="M101" s="749"/>
      <c r="N101" s="746"/>
      <c r="O101" s="746"/>
      <c r="P101" s="746"/>
      <c r="Q101" s="746"/>
      <c r="R101" s="746"/>
      <c r="S101" s="746"/>
      <c r="T101" s="746"/>
      <c r="U101" s="746"/>
      <c r="V101" s="746"/>
      <c r="W101" s="746"/>
      <c r="X101" s="746"/>
      <c r="Y101" s="746"/>
      <c r="Z101" s="746"/>
      <c r="AA101" s="746"/>
      <c r="AB101" s="746"/>
      <c r="AC101" s="746"/>
      <c r="AD101" s="746"/>
      <c r="AE101" s="746"/>
      <c r="AF101" s="746"/>
      <c r="AG101" s="746"/>
      <c r="AH101" s="746"/>
      <c r="AI101" s="746"/>
      <c r="AJ101" s="746"/>
      <c r="AK101" s="746"/>
      <c r="AL101" s="746"/>
      <c r="AM101" s="746"/>
      <c r="AN101" s="746"/>
      <c r="AO101" s="746"/>
      <c r="AP101" s="746"/>
      <c r="AQ101" s="746"/>
      <c r="AR101" s="746"/>
    </row>
    <row r="102" spans="1:44" x14ac:dyDescent="0.35">
      <c r="B102" s="351"/>
      <c r="C102" s="351"/>
      <c r="D102" s="351"/>
      <c r="E102" s="351"/>
      <c r="F102" s="351"/>
      <c r="G102" s="351"/>
      <c r="H102" s="351"/>
      <c r="I102" s="746"/>
      <c r="J102" s="746"/>
      <c r="K102" s="749"/>
      <c r="L102" s="749"/>
      <c r="M102" s="749"/>
      <c r="N102" s="746"/>
      <c r="O102" s="746"/>
      <c r="P102" s="746"/>
      <c r="Q102" s="746"/>
      <c r="R102" s="746"/>
      <c r="S102" s="746"/>
      <c r="T102" s="746"/>
      <c r="U102" s="746"/>
      <c r="V102" s="746"/>
      <c r="W102" s="746"/>
      <c r="X102" s="746"/>
      <c r="Y102" s="746"/>
      <c r="Z102" s="746"/>
      <c r="AA102" s="746"/>
      <c r="AB102" s="746"/>
      <c r="AC102" s="746"/>
      <c r="AD102" s="746"/>
      <c r="AE102" s="746"/>
      <c r="AF102" s="746"/>
      <c r="AG102" s="746"/>
      <c r="AH102" s="746"/>
      <c r="AI102" s="746"/>
      <c r="AJ102" s="746"/>
      <c r="AK102" s="746"/>
      <c r="AL102" s="746"/>
      <c r="AM102" s="746"/>
      <c r="AN102" s="746"/>
      <c r="AO102" s="746"/>
      <c r="AP102" s="746"/>
      <c r="AQ102" s="746"/>
      <c r="AR102" s="746"/>
    </row>
  </sheetData>
  <mergeCells count="6">
    <mergeCell ref="B12:H12"/>
    <mergeCell ref="B3:H3"/>
    <mergeCell ref="C4:G5"/>
    <mergeCell ref="B7:C10"/>
    <mergeCell ref="E7:E10"/>
    <mergeCell ref="G7:H10"/>
  </mergeCells>
  <hyperlinks>
    <hyperlink ref="F8" r:id="rId1" xr:uid="{6EF05BE8-5559-4572-A56D-CB05AE5E2918}"/>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5EB28-BF47-432D-BA18-0116CA2D266F}">
  <sheetPr codeName="PathwaySummary">
    <tabColor rgb="FF7030A0"/>
    <pageSetUpPr fitToPage="1"/>
  </sheetPr>
  <dimension ref="A1:I87"/>
  <sheetViews>
    <sheetView showGridLines="0" zoomScale="73" workbookViewId="0">
      <pane ySplit="1" topLeftCell="A2" activePane="bottomLeft" state="frozen"/>
      <selection pane="bottomLeft" activeCell="D18" sqref="D18"/>
    </sheetView>
  </sheetViews>
  <sheetFormatPr defaultColWidth="9.1796875" defaultRowHeight="14" x14ac:dyDescent="0.3"/>
  <cols>
    <col min="1" max="1" width="64" style="4" customWidth="1"/>
    <col min="2" max="2" width="30.81640625" style="4" customWidth="1"/>
    <col min="3" max="3" width="24.81640625" style="4" bestFit="1" customWidth="1"/>
    <col min="4" max="4" width="27.81640625" style="4" customWidth="1"/>
    <col min="5" max="5" width="43.54296875" style="4" customWidth="1"/>
    <col min="6" max="6" width="19.7265625" style="4" customWidth="1"/>
    <col min="7" max="7" width="37.1796875" style="4" customWidth="1"/>
    <col min="8" max="8" width="27.81640625" style="4" customWidth="1"/>
    <col min="9" max="9" width="13.453125" style="4" customWidth="1"/>
    <col min="10" max="16384" width="9.1796875" style="4"/>
  </cols>
  <sheetData>
    <row r="1" spans="1:6" ht="40" customHeight="1" thickBot="1" x14ac:dyDescent="0.35"/>
    <row r="2" spans="1:6" ht="48" customHeight="1" thickBot="1" x14ac:dyDescent="0.35">
      <c r="A2" s="834" t="s">
        <v>6</v>
      </c>
      <c r="B2" s="835"/>
      <c r="C2" s="835"/>
      <c r="D2" s="835"/>
      <c r="E2" s="836" t="s">
        <v>7</v>
      </c>
      <c r="F2" s="837"/>
    </row>
    <row r="3" spans="1:6" ht="27" customHeight="1" x14ac:dyDescent="0.3">
      <c r="A3" s="404" t="s">
        <v>8</v>
      </c>
      <c r="B3" s="838" t="s">
        <v>9</v>
      </c>
      <c r="C3" s="839"/>
      <c r="D3" s="839"/>
      <c r="E3" s="405" t="s">
        <v>535</v>
      </c>
      <c r="F3" s="406" t="s">
        <v>10</v>
      </c>
    </row>
    <row r="4" spans="1:6" ht="27" customHeight="1" x14ac:dyDescent="0.3">
      <c r="A4" s="407" t="s">
        <v>11</v>
      </c>
      <c r="B4" s="840" t="str">
        <f>IF(BiogasToBiomethane!C15="","",BiogasToBiomethane!C15)</f>
        <v/>
      </c>
      <c r="C4" s="840"/>
      <c r="D4" s="840"/>
      <c r="E4" s="408" t="s">
        <v>12</v>
      </c>
      <c r="F4" s="409" t="str">
        <f>IF(F58=0,"N/A",F58)</f>
        <v>N/A</v>
      </c>
    </row>
    <row r="5" spans="1:6" s="6" customFormat="1" ht="22.5" customHeight="1" x14ac:dyDescent="0.35">
      <c r="A5" s="410" t="s">
        <v>13</v>
      </c>
      <c r="B5" s="840" t="str">
        <f>IF(BiogasToBiomethane!C18="","",BiogasToBiomethane!C18)</f>
        <v/>
      </c>
      <c r="C5" s="840"/>
      <c r="D5" s="840"/>
      <c r="E5" s="408" t="s">
        <v>14</v>
      </c>
      <c r="F5" s="5" t="s">
        <v>15</v>
      </c>
    </row>
    <row r="6" spans="1:6" s="6" customFormat="1" ht="36.65" customHeight="1" x14ac:dyDescent="0.35">
      <c r="A6" s="411" t="s">
        <v>16</v>
      </c>
      <c r="B6" s="841"/>
      <c r="C6" s="841"/>
      <c r="D6" s="841"/>
      <c r="E6" s="412" t="s">
        <v>17</v>
      </c>
      <c r="F6" s="7" t="s">
        <v>15</v>
      </c>
    </row>
    <row r="7" spans="1:6" s="6" customFormat="1" ht="24.65" customHeight="1" x14ac:dyDescent="0.35">
      <c r="A7" s="413"/>
      <c r="B7" s="828"/>
      <c r="C7" s="828"/>
      <c r="D7" s="828"/>
      <c r="E7" s="408" t="s">
        <v>18</v>
      </c>
      <c r="F7" s="8" t="str">
        <f>IF(BiogasToBiomethane!B28&lt;&gt;"", BiogasToBiomethane!B28, "")</f>
        <v/>
      </c>
    </row>
    <row r="8" spans="1:6" s="6" customFormat="1" ht="27" customHeight="1" thickBot="1" x14ac:dyDescent="0.4">
      <c r="A8" s="9"/>
      <c r="B8" s="10"/>
      <c r="C8" s="10"/>
      <c r="D8" s="10"/>
      <c r="E8" s="414" t="s">
        <v>724</v>
      </c>
      <c r="F8" s="11" t="str">
        <f>IF(months_project&lt;&gt;0, months_project, "")</f>
        <v/>
      </c>
    </row>
    <row r="9" spans="1:6" s="12" customFormat="1" ht="25.5" customHeight="1" x14ac:dyDescent="0.35">
      <c r="A9" s="415" t="s">
        <v>723</v>
      </c>
      <c r="B9" s="416" t="s">
        <v>19</v>
      </c>
      <c r="C9" s="417" t="s">
        <v>20</v>
      </c>
      <c r="D9" s="418" t="s">
        <v>21</v>
      </c>
      <c r="E9" s="829" t="s">
        <v>536</v>
      </c>
      <c r="F9" s="830"/>
    </row>
    <row r="10" spans="1:6" x14ac:dyDescent="0.3">
      <c r="A10" s="419" t="s">
        <v>22</v>
      </c>
      <c r="B10" s="13"/>
      <c r="C10" s="420"/>
      <c r="D10" s="14"/>
      <c r="E10" s="421"/>
      <c r="F10" s="20"/>
    </row>
    <row r="11" spans="1:6" x14ac:dyDescent="0.3">
      <c r="A11" s="422" t="s">
        <v>563</v>
      </c>
      <c r="B11" s="15">
        <f>IFERROR(AVERAGE(ManureToBiogas!D9:D68),0)+
 IFERROR(AVERAGE(ManureToBiogas!R9:R68),0)+
 IFERROR(AVERAGE(ManureToBiogas!AF9:AF68),0)+
 IFERROR(AVERAGE(ManureToBiogas!AT9:AT68),0)+
 IFERROR(AVERAGE(ManureToBiogas!BH9:BH68),0)+
 IFERROR(AVERAGE(ManureToBiogas!BV9:BV68),0)</f>
        <v>0</v>
      </c>
      <c r="C11" s="420" t="s">
        <v>23</v>
      </c>
      <c r="D11" s="14"/>
      <c r="E11" s="421"/>
      <c r="F11" s="20"/>
    </row>
    <row r="12" spans="1:6" x14ac:dyDescent="0.3">
      <c r="A12" s="422" t="s">
        <v>564</v>
      </c>
      <c r="B12" s="314">
        <f>IFERROR(SUMPRODUCT(ManureToBiogas!G9:G68,ManureToBiogas!F9:F68)/SUM(ManureToBiogas!F9:F68),0)</f>
        <v>0</v>
      </c>
      <c r="C12" s="420" t="s">
        <v>24</v>
      </c>
      <c r="D12" s="14"/>
      <c r="E12" s="421"/>
      <c r="F12" s="20"/>
    </row>
    <row r="13" spans="1:6" x14ac:dyDescent="0.3">
      <c r="A13" s="422" t="s">
        <v>25</v>
      </c>
      <c r="B13" s="16" t="str">
        <f>IF(COUNTIF(ManureToBiogas!L9:L68,"&gt;0")&lt;COUNT(ManureToBiogas!L9:L68), "YES","NO")</f>
        <v>YES</v>
      </c>
      <c r="C13" s="423"/>
      <c r="D13" s="14"/>
      <c r="E13" s="421"/>
      <c r="F13" s="20"/>
    </row>
    <row r="14" spans="1:6" x14ac:dyDescent="0.3">
      <c r="A14" s="422" t="s">
        <v>26</v>
      </c>
      <c r="B14" s="13" t="str">
        <f>AvoidedEmissions!C4</f>
        <v>Covered Lagoon</v>
      </c>
      <c r="C14" s="423"/>
      <c r="D14" s="14"/>
      <c r="E14" s="421"/>
      <c r="F14" s="20"/>
    </row>
    <row r="15" spans="1:6" x14ac:dyDescent="0.3">
      <c r="A15" s="424" t="s">
        <v>27</v>
      </c>
      <c r="B15" s="17">
        <f>user_grid_bcs</f>
        <v>0</v>
      </c>
      <c r="C15" s="423"/>
      <c r="D15" s="14"/>
      <c r="E15" s="421"/>
      <c r="F15" s="20"/>
    </row>
    <row r="16" spans="1:6" x14ac:dyDescent="0.3">
      <c r="A16" s="422"/>
      <c r="B16" s="13"/>
      <c r="C16" s="423"/>
      <c r="D16" s="14"/>
      <c r="E16" s="421"/>
      <c r="F16" s="20"/>
    </row>
    <row r="17" spans="1:6" x14ac:dyDescent="0.3">
      <c r="A17" s="419" t="s">
        <v>28</v>
      </c>
      <c r="B17" s="16"/>
      <c r="C17" s="423"/>
      <c r="D17" s="14"/>
      <c r="E17" s="421"/>
      <c r="F17" s="20"/>
    </row>
    <row r="18" spans="1:6" ht="16.5" customHeight="1" x14ac:dyDescent="0.3">
      <c r="A18" s="422" t="s">
        <v>657</v>
      </c>
      <c r="B18" s="13">
        <f>IFERROR((ManureToBiogas!N69+ManureToBiogas!AB69+ManureToBiogas!AP69+ManureToBiogas!BD69+ManureToBiogas!BR69+ManureToBiogas!CF69)/ManureToBiogas!B9,0)</f>
        <v>0</v>
      </c>
      <c r="C18" s="420" t="s">
        <v>658</v>
      </c>
      <c r="D18" s="14"/>
      <c r="E18" s="421"/>
      <c r="F18" s="20"/>
    </row>
    <row r="19" spans="1:6" ht="16" x14ac:dyDescent="0.3">
      <c r="A19" s="422" t="s">
        <v>659</v>
      </c>
      <c r="B19" s="13">
        <f>IFERROR(ManureToBiogas!J83/ManureToBiogas!B9,0)</f>
        <v>0</v>
      </c>
      <c r="C19" s="420" t="s">
        <v>658</v>
      </c>
      <c r="D19" s="14"/>
      <c r="E19" s="421"/>
      <c r="F19" s="20"/>
    </row>
    <row r="20" spans="1:6" ht="17" x14ac:dyDescent="0.3">
      <c r="A20" s="425" t="s">
        <v>660</v>
      </c>
      <c r="B20" s="17">
        <f>SUM(B18:B19)</f>
        <v>0</v>
      </c>
      <c r="C20" s="426" t="s">
        <v>661</v>
      </c>
      <c r="D20" s="14"/>
      <c r="E20" s="421" t="s">
        <v>30</v>
      </c>
      <c r="F20" s="20">
        <f>AvoidedEmissions!C87</f>
        <v>0</v>
      </c>
    </row>
    <row r="21" spans="1:6" x14ac:dyDescent="0.3">
      <c r="A21" s="427"/>
      <c r="B21" s="17"/>
      <c r="C21" s="426"/>
      <c r="D21" s="14"/>
      <c r="E21" s="421"/>
      <c r="F21" s="20"/>
    </row>
    <row r="22" spans="1:6" x14ac:dyDescent="0.3">
      <c r="A22" s="427"/>
      <c r="B22" s="17"/>
      <c r="C22" s="426"/>
      <c r="D22" s="14"/>
      <c r="E22" s="421"/>
      <c r="F22" s="20"/>
    </row>
    <row r="23" spans="1:6" x14ac:dyDescent="0.3">
      <c r="A23" s="428"/>
      <c r="B23" s="271"/>
      <c r="C23" s="423"/>
      <c r="D23" s="14"/>
      <c r="E23" s="421"/>
      <c r="F23" s="20"/>
    </row>
    <row r="24" spans="1:6" x14ac:dyDescent="0.3">
      <c r="A24" s="419" t="s">
        <v>31</v>
      </c>
      <c r="B24" s="13"/>
      <c r="C24" s="420"/>
      <c r="D24" s="14"/>
      <c r="E24" s="421"/>
      <c r="F24" s="20"/>
    </row>
    <row r="25" spans="1:6" x14ac:dyDescent="0.3">
      <c r="A25" s="422" t="s">
        <v>32</v>
      </c>
      <c r="B25" s="13">
        <f>BiogasToBiomethane!G52</f>
        <v>0</v>
      </c>
      <c r="C25" s="420" t="s">
        <v>33</v>
      </c>
      <c r="D25" s="14"/>
      <c r="E25" s="421"/>
      <c r="F25" s="20"/>
    </row>
    <row r="26" spans="1:6" x14ac:dyDescent="0.3">
      <c r="A26" s="422" t="s">
        <v>34</v>
      </c>
      <c r="B26" s="19">
        <f>BiogasToBiomethane!H52</f>
        <v>0</v>
      </c>
      <c r="C26" s="420" t="s">
        <v>35</v>
      </c>
      <c r="D26" s="14"/>
      <c r="E26" s="421"/>
      <c r="F26" s="20"/>
    </row>
    <row r="27" spans="1:6" ht="16" x14ac:dyDescent="0.3">
      <c r="A27" s="422" t="s">
        <v>36</v>
      </c>
      <c r="B27" s="310">
        <f>IFERROR((BiogasToBiomethane!D53*density_CH4*g2MT)/F8,0)</f>
        <v>0</v>
      </c>
      <c r="C27" s="420" t="s">
        <v>658</v>
      </c>
      <c r="D27" s="14"/>
      <c r="E27" s="421" t="s">
        <v>37</v>
      </c>
      <c r="F27" s="20">
        <f>SUM(BiogasToBiomethane!G70:G77)</f>
        <v>0</v>
      </c>
    </row>
    <row r="28" spans="1:6" ht="16" x14ac:dyDescent="0.3">
      <c r="A28" s="422" t="s">
        <v>662</v>
      </c>
      <c r="B28" s="310">
        <f>AvoidedEmissions!D68</f>
        <v>0</v>
      </c>
      <c r="C28" s="420" t="s">
        <v>658</v>
      </c>
      <c r="D28" s="14"/>
      <c r="E28" s="421"/>
      <c r="F28" s="20"/>
    </row>
    <row r="29" spans="1:6" ht="16" x14ac:dyDescent="0.3">
      <c r="A29" s="422" t="s">
        <v>663</v>
      </c>
      <c r="B29" s="311">
        <f>AvoidedEmissions!E68</f>
        <v>0</v>
      </c>
      <c r="C29" s="420" t="s">
        <v>658</v>
      </c>
      <c r="D29" s="14"/>
      <c r="E29" s="421"/>
      <c r="F29" s="20"/>
    </row>
    <row r="30" spans="1:6" ht="16" x14ac:dyDescent="0.3">
      <c r="A30" s="422" t="s">
        <v>664</v>
      </c>
      <c r="B30" s="311">
        <f>IFERROR(ManureToBiogas!J144/ManureToBiogas!B9,0)</f>
        <v>0</v>
      </c>
      <c r="C30" s="420" t="s">
        <v>658</v>
      </c>
      <c r="D30" s="14"/>
      <c r="E30" s="421" t="s">
        <v>38</v>
      </c>
      <c r="F30" s="20">
        <f>BiogasToBiomethane!G80</f>
        <v>0</v>
      </c>
    </row>
    <row r="31" spans="1:6" ht="16" x14ac:dyDescent="0.3">
      <c r="A31" s="422" t="s">
        <v>39</v>
      </c>
      <c r="B31" s="311">
        <f>AvoidedEmissions!G68</f>
        <v>0</v>
      </c>
      <c r="C31" s="420" t="s">
        <v>658</v>
      </c>
      <c r="D31" s="14"/>
      <c r="E31" s="421" t="s">
        <v>40</v>
      </c>
      <c r="F31" s="20">
        <f>BiogasToBiomethane!G79</f>
        <v>0</v>
      </c>
    </row>
    <row r="32" spans="1:6" ht="16" x14ac:dyDescent="0.3">
      <c r="A32" s="422" t="s">
        <v>41</v>
      </c>
      <c r="B32" s="311">
        <f>IFERROR((BiogasToBiomethane!H53*density_CH4/10^6)/F8*BiogasToBiomethane!AE51,0)</f>
        <v>0</v>
      </c>
      <c r="C32" s="420" t="s">
        <v>658</v>
      </c>
      <c r="D32" s="14"/>
      <c r="E32" s="421"/>
      <c r="F32" s="20"/>
    </row>
    <row r="33" spans="1:6" ht="16" x14ac:dyDescent="0.3">
      <c r="A33" s="422" t="s">
        <v>40</v>
      </c>
      <c r="B33" s="311">
        <f>IFERROR((BiogasToBiomethane!Z53*density_CH4/10^6)/F8,0)</f>
        <v>0</v>
      </c>
      <c r="C33" s="420" t="s">
        <v>658</v>
      </c>
      <c r="D33" s="14"/>
      <c r="E33" s="421"/>
      <c r="F33" s="20"/>
    </row>
    <row r="34" spans="1:6" ht="17" x14ac:dyDescent="0.3">
      <c r="A34" s="425" t="s">
        <v>665</v>
      </c>
      <c r="B34" s="311">
        <f>SUM(B28:B33)</f>
        <v>0</v>
      </c>
      <c r="C34" s="426" t="s">
        <v>661</v>
      </c>
      <c r="D34" s="14"/>
      <c r="E34" s="429" t="s">
        <v>42</v>
      </c>
      <c r="F34" s="20">
        <f>BiogasToBiomethane!G82+BiogasToBiomethane!G83</f>
        <v>0</v>
      </c>
    </row>
    <row r="35" spans="1:6" ht="17" x14ac:dyDescent="0.3">
      <c r="A35" s="425" t="s">
        <v>666</v>
      </c>
      <c r="B35" s="21">
        <f>IFERROR(1-(B34/B20),0)</f>
        <v>0</v>
      </c>
      <c r="C35" s="426" t="s">
        <v>43</v>
      </c>
      <c r="D35" s="14"/>
      <c r="E35" s="421"/>
      <c r="F35" s="20"/>
    </row>
    <row r="36" spans="1:6" x14ac:dyDescent="0.3">
      <c r="A36" s="425"/>
      <c r="B36" s="21"/>
      <c r="C36" s="426"/>
      <c r="D36" s="14"/>
      <c r="E36" s="421"/>
      <c r="F36" s="20"/>
    </row>
    <row r="37" spans="1:6" x14ac:dyDescent="0.3">
      <c r="A37" s="430" t="s">
        <v>44</v>
      </c>
      <c r="B37" s="21">
        <f>BiogasToBiomethane!B82</f>
        <v>0</v>
      </c>
      <c r="C37" s="426"/>
      <c r="D37" s="14"/>
      <c r="E37" s="421"/>
      <c r="F37" s="20"/>
    </row>
    <row r="38" spans="1:6" x14ac:dyDescent="0.3">
      <c r="A38" s="422" t="s">
        <v>654</v>
      </c>
      <c r="B38" s="18">
        <f>BiogasToBiomethane!AE34</f>
        <v>0</v>
      </c>
      <c r="C38" s="426" t="s">
        <v>45</v>
      </c>
      <c r="D38" s="14"/>
      <c r="E38" s="421"/>
      <c r="F38" s="20"/>
    </row>
    <row r="39" spans="1:6" x14ac:dyDescent="0.3">
      <c r="A39" s="430" t="s">
        <v>46</v>
      </c>
      <c r="B39" s="18">
        <f>BiogasToBiomethane!AE40</f>
        <v>0</v>
      </c>
      <c r="C39" s="426" t="s">
        <v>45</v>
      </c>
      <c r="D39" s="14"/>
      <c r="E39" s="421"/>
      <c r="F39" s="20"/>
    </row>
    <row r="40" spans="1:6" x14ac:dyDescent="0.3">
      <c r="A40" s="430"/>
      <c r="B40" s="21"/>
      <c r="C40" s="426"/>
      <c r="D40" s="14"/>
      <c r="E40" s="421"/>
      <c r="F40" s="20"/>
    </row>
    <row r="41" spans="1:6" x14ac:dyDescent="0.3">
      <c r="A41" s="431" t="s">
        <v>47</v>
      </c>
      <c r="B41" s="271"/>
      <c r="C41" s="423"/>
      <c r="D41" s="14"/>
      <c r="E41" s="421" t="s">
        <v>48</v>
      </c>
      <c r="F41" s="20">
        <f>BiogasToBiomethane!G85+BiogasToBiomethane!G88</f>
        <v>0</v>
      </c>
    </row>
    <row r="42" spans="1:6" x14ac:dyDescent="0.3">
      <c r="A42" s="422" t="s">
        <v>49</v>
      </c>
      <c r="B42" s="312">
        <f>IFERROR(
    IF(
        BiogasToBiomethane!X27="Diesel (Gallons)",
        (BiogasToBiomethane!M52 + BiogasToBiomethane!T52 + BiogasToBiomethane!X52) * HHV_diesel * Btu2MJ / F8,
        (BiogasToBiomethane!M52 + BiogasToBiomethane!T52) * HHV_diesel * Btu2MJ / F8
    ),
    0
)</f>
        <v>0</v>
      </c>
      <c r="C42" s="420" t="s">
        <v>50</v>
      </c>
      <c r="D42" s="14"/>
      <c r="E42" s="421"/>
      <c r="F42" s="20"/>
    </row>
    <row r="43" spans="1:6" x14ac:dyDescent="0.3">
      <c r="A43" s="422" t="s">
        <v>51</v>
      </c>
      <c r="B43" s="312">
        <f>IFERROR(
    IF(
        BiogasToBiomethane!X27="Grid Electricity (kWh)",
        (BiogasToBiomethane!I52 + BiogasToBiomethane!R52 + BiogasToBiomethane!S52 + BiogasToBiomethane!X52) * kWh2MJ / F8,
        (BiogasToBiomethane!I52 + BiogasToBiomethane!R52 + BiogasToBiomethane!S52) * kWh2MJ / F8
    ),
    0
)</f>
        <v>0</v>
      </c>
      <c r="C43" s="420" t="s">
        <v>50</v>
      </c>
      <c r="D43" s="14"/>
      <c r="E43" s="421"/>
      <c r="F43" s="20"/>
    </row>
    <row r="44" spans="1:6" x14ac:dyDescent="0.3">
      <c r="A44" s="422" t="s">
        <v>52</v>
      </c>
      <c r="B44" s="312">
        <f>IFERROR(
    IF(
        BiogasToBiomethane!X27="NG (mmBtu, LHV)",
        (BiogasToBiomethane!L52+BiogasToBiomethane!O52+BiogasToBiomethane!V52+BiogasToBiomethane!X52)*mmBtu2MJ/F8,
        (BiogasToBiomethane!L52+BiogasToBiomethane!O52+BiogasToBiomethane!V52)*mmBtu2MJ/F8
    ),
    0
)</f>
        <v>0</v>
      </c>
      <c r="C44" s="420" t="s">
        <v>50</v>
      </c>
      <c r="D44" s="14"/>
      <c r="E44" s="421"/>
      <c r="F44" s="20"/>
    </row>
    <row r="45" spans="1:6" x14ac:dyDescent="0.3">
      <c r="A45" s="422" t="s">
        <v>53</v>
      </c>
      <c r="B45" s="312">
        <f>IFERROR(
    (
        IF(BiogasToBiomethane!N27="Propane (Gallons)", BiogasToBiomethane!N52, 0) +
        IF(BiogasToBiomethane!U27="Propane (Gallons)", BiogasToBiomethane!U52, 0) +
        IF(BiogasToBiomethane!X27="Propane (Gallons)", BiogasToBiomethane!X52, 0) +
        BiogasToBiomethane!W52
    ) * HHV_LPG * Btu2MJ / F8,
    0
)</f>
        <v>0</v>
      </c>
      <c r="C45" s="420" t="s">
        <v>50</v>
      </c>
      <c r="D45" s="14"/>
      <c r="E45" s="421"/>
      <c r="F45" s="20"/>
    </row>
    <row r="46" spans="1:6" x14ac:dyDescent="0.3">
      <c r="A46" s="422" t="s">
        <v>54</v>
      </c>
      <c r="B46" s="312">
        <f>IFERROR((BiogasToBiomethane!J55+BiogasToBiomethane!J55)*mmBtu2MJ/F8, 0)</f>
        <v>0</v>
      </c>
      <c r="C46" s="420" t="s">
        <v>50</v>
      </c>
      <c r="D46" s="14"/>
      <c r="E46" s="421"/>
      <c r="F46" s="20"/>
    </row>
    <row r="47" spans="1:6" x14ac:dyDescent="0.3">
      <c r="A47" s="422" t="s">
        <v>56</v>
      </c>
      <c r="B47" s="312">
        <f>IFERROR((BiogasToBiomethane!K52+BiogasToBiomethane!Q52)*mmBtu2MJ/F8, 0)</f>
        <v>0</v>
      </c>
      <c r="C47" s="420" t="s">
        <v>50</v>
      </c>
      <c r="D47" s="14"/>
      <c r="E47" s="421" t="s">
        <v>57</v>
      </c>
      <c r="F47" s="20">
        <f>BiogasToBiomethane!G90</f>
        <v>2.9843495091195451</v>
      </c>
    </row>
    <row r="48" spans="1:6" x14ac:dyDescent="0.3">
      <c r="A48" s="422" t="str">
        <f>Background!B53</f>
        <v>User-Defined Fuel-1 (MJ, LHV)</v>
      </c>
      <c r="B48" s="312">
        <f>IFERROR(
    (
        IF(BiogasToBiomethane!N27=Background!B53, BiogasToBiomethane!N52, 0) +
        IF(BiogasToBiomethane!U27=Background!B53, BiogasToBiomethane!U52, 0) +
        IF(BiogasToBiomethane!X27=Background!B53, BiogasToBiomethane!X52, 0)
    ) / F8,
    0
)</f>
        <v>0</v>
      </c>
      <c r="C48" s="420" t="s">
        <v>50</v>
      </c>
      <c r="D48" s="14"/>
      <c r="E48" s="421" t="s">
        <v>58</v>
      </c>
      <c r="F48" s="20">
        <f>BiogasToBiomethane!G91</f>
        <v>1.2536115201312725</v>
      </c>
    </row>
    <row r="49" spans="1:6" x14ac:dyDescent="0.3">
      <c r="A49" s="422" t="str">
        <f>Background!B54</f>
        <v>User-Defined Fuel-2 (MJ, LHV)</v>
      </c>
      <c r="B49" s="312">
        <f>IFERROR(
    (
        IF(BiogasToBiomethane!N27=Background!B54, BiogasToBiomethane!N52, 0) +
        IF(BiogasToBiomethane!U27=Background!B54, BiogasToBiomethane!U52, 0) +
        IF(BiogasToBiomethane!X27=Background!B54, BiogasToBiomethane!X52, 0)
    ) / F8,
    0
)</f>
        <v>0</v>
      </c>
      <c r="C49" s="420" t="s">
        <v>50</v>
      </c>
      <c r="D49" s="14"/>
      <c r="E49" s="421"/>
      <c r="F49" s="20"/>
    </row>
    <row r="50" spans="1:6" x14ac:dyDescent="0.3">
      <c r="A50" s="422" t="str">
        <f>Background!B55</f>
        <v>User-Defined Fuel-3 (MJ, LHV)</v>
      </c>
      <c r="B50" s="312">
        <f>IFERROR(
    (
        IF(BiogasToBiomethane!N27=Background!B55, BiogasToBiomethane!N52, 0) +
        IF(BiogasToBiomethane!U27=Background!B55, BiogasToBiomethane!U52, 0) +
        IF(BiogasToBiomethane!X27=Background!B55, BiogasToBiomethane!X52, 0)
    ) / F8,
    0
)</f>
        <v>0</v>
      </c>
      <c r="C50" s="420" t="s">
        <v>50</v>
      </c>
      <c r="D50" s="14"/>
      <c r="E50" s="421"/>
      <c r="F50" s="20"/>
    </row>
    <row r="51" spans="1:6" x14ac:dyDescent="0.3">
      <c r="A51" s="422" t="s">
        <v>59</v>
      </c>
      <c r="B51" s="312">
        <f>BiogasToBiomethane!X52</f>
        <v>0</v>
      </c>
      <c r="C51" s="420" t="str">
        <f>BiogasToBiomethane!X27</f>
        <v>User-Defined Fuel-3 (MJ, LHV)</v>
      </c>
      <c r="D51" s="14"/>
      <c r="E51" s="432"/>
      <c r="F51" s="272"/>
    </row>
    <row r="52" spans="1:6" x14ac:dyDescent="0.3">
      <c r="A52" s="422" t="s">
        <v>60</v>
      </c>
      <c r="B52" s="312">
        <f>BiogasToBiomethane!V52</f>
        <v>0</v>
      </c>
      <c r="C52" s="420" t="s">
        <v>556</v>
      </c>
      <c r="D52" s="14"/>
      <c r="E52" s="432"/>
      <c r="F52" s="272"/>
    </row>
    <row r="53" spans="1:6" x14ac:dyDescent="0.3">
      <c r="A53" s="422" t="s">
        <v>61</v>
      </c>
      <c r="B53" s="312">
        <f>BiogasToBiomethane!W52</f>
        <v>0</v>
      </c>
      <c r="C53" s="420" t="s">
        <v>556</v>
      </c>
      <c r="D53" s="14"/>
      <c r="E53" s="432"/>
      <c r="F53" s="272"/>
    </row>
    <row r="54" spans="1:6" ht="14.5" thickBot="1" x14ac:dyDescent="0.35">
      <c r="A54" s="422"/>
      <c r="B54" s="15"/>
      <c r="C54" s="420"/>
      <c r="D54" s="14"/>
      <c r="E54" s="432"/>
      <c r="F54" s="340"/>
    </row>
    <row r="55" spans="1:6" x14ac:dyDescent="0.3">
      <c r="A55" s="431" t="s">
        <v>62</v>
      </c>
      <c r="B55" s="15"/>
      <c r="C55" s="420"/>
      <c r="D55" s="14"/>
      <c r="E55" s="433" t="s">
        <v>585</v>
      </c>
      <c r="F55" s="273"/>
    </row>
    <row r="56" spans="1:6" x14ac:dyDescent="0.3">
      <c r="A56" s="434" t="s">
        <v>63</v>
      </c>
      <c r="B56" s="15"/>
      <c r="C56" s="420"/>
      <c r="D56" s="14"/>
      <c r="E56" s="435" t="s">
        <v>67</v>
      </c>
      <c r="F56" s="20">
        <f>BiogasToBiomethane!G94</f>
        <v>0</v>
      </c>
    </row>
    <row r="57" spans="1:6" x14ac:dyDescent="0.3">
      <c r="A57" s="422" t="s">
        <v>64</v>
      </c>
      <c r="B57" s="265">
        <f>user_grid_bcs</f>
        <v>0</v>
      </c>
      <c r="C57" s="420"/>
      <c r="D57" s="14"/>
      <c r="E57" s="435" t="s">
        <v>586</v>
      </c>
      <c r="F57" s="436"/>
    </row>
    <row r="58" spans="1:6" x14ac:dyDescent="0.3">
      <c r="A58" s="422"/>
      <c r="B58" s="15"/>
      <c r="C58" s="420"/>
      <c r="D58" s="14"/>
      <c r="E58" s="435" t="s">
        <v>587</v>
      </c>
      <c r="F58" s="437">
        <f>SUM(F56:F57)</f>
        <v>0</v>
      </c>
    </row>
    <row r="59" spans="1:6" x14ac:dyDescent="0.3">
      <c r="A59" s="438" t="s">
        <v>65</v>
      </c>
      <c r="B59" s="15"/>
      <c r="C59" s="420"/>
      <c r="D59" s="14"/>
      <c r="E59" s="435"/>
      <c r="F59" s="20"/>
    </row>
    <row r="60" spans="1:6" ht="14.5" thickBot="1" x14ac:dyDescent="0.35">
      <c r="A60" s="439" t="s">
        <v>66</v>
      </c>
      <c r="B60" s="15">
        <f>BiogasToBiomethane!AI26</f>
        <v>0</v>
      </c>
      <c r="C60" s="420" t="s">
        <v>45</v>
      </c>
      <c r="D60" s="14"/>
      <c r="E60" s="435"/>
      <c r="F60" s="20"/>
    </row>
    <row r="61" spans="1:6" x14ac:dyDescent="0.3">
      <c r="A61" s="422" t="s">
        <v>68</v>
      </c>
      <c r="B61" s="15">
        <f>IFERROR(BiogasToBiomethane!AI29*mmBtu2MJ/F8,0)</f>
        <v>0</v>
      </c>
      <c r="C61" s="420" t="s">
        <v>55</v>
      </c>
      <c r="D61" s="14"/>
      <c r="E61" s="440" t="s">
        <v>584</v>
      </c>
      <c r="F61" s="22"/>
    </row>
    <row r="62" spans="1:6" x14ac:dyDescent="0.3">
      <c r="A62" s="422"/>
      <c r="B62" s="15"/>
      <c r="C62" s="420"/>
      <c r="D62" s="14"/>
      <c r="E62" s="441" t="s">
        <v>67</v>
      </c>
      <c r="F62" s="20">
        <f>BiogasToBiomethane!G95</f>
        <v>0</v>
      </c>
    </row>
    <row r="63" spans="1:6" x14ac:dyDescent="0.3">
      <c r="A63" s="419" t="s">
        <v>69</v>
      </c>
      <c r="B63" s="271"/>
      <c r="C63" s="420"/>
      <c r="D63" s="14"/>
      <c r="E63" s="435" t="s">
        <v>586</v>
      </c>
      <c r="F63" s="442"/>
    </row>
    <row r="64" spans="1:6" x14ac:dyDescent="0.3">
      <c r="A64" s="422" t="s">
        <v>70</v>
      </c>
      <c r="B64" s="15">
        <f>IFERROR(BiogasToBiomethane!AA52*mmBtu2MJ/F8,0)</f>
        <v>0</v>
      </c>
      <c r="C64" s="420" t="s">
        <v>50</v>
      </c>
      <c r="D64" s="14"/>
      <c r="E64" s="435" t="s">
        <v>587</v>
      </c>
      <c r="F64" s="437">
        <f>SUM(F62:F63)</f>
        <v>0</v>
      </c>
    </row>
    <row r="65" spans="1:9" ht="14.5" thickBot="1" x14ac:dyDescent="0.35">
      <c r="A65" s="422" t="s">
        <v>614</v>
      </c>
      <c r="B65" s="15">
        <f>IFERROR(BiogasToBiomethane!R52*kWh2MJ/F8,0)</f>
        <v>0</v>
      </c>
      <c r="C65" s="420" t="s">
        <v>50</v>
      </c>
      <c r="D65" s="14"/>
      <c r="E65" s="443" t="str">
        <f>IF(Include_AvoidedMethane=1, "Total CI, without Avoided Methane", "")</f>
        <v/>
      </c>
      <c r="F65" s="348" t="str">
        <f>IF(Include_AvoidedMethane=1, F64-AvoidedEmissions!$C$87, "")</f>
        <v/>
      </c>
    </row>
    <row r="66" spans="1:9" x14ac:dyDescent="0.3">
      <c r="A66" s="422" t="s">
        <v>71</v>
      </c>
      <c r="B66" s="23">
        <f>IFERROR(B64/(B64+B65),0)</f>
        <v>0</v>
      </c>
      <c r="C66" s="420" t="s">
        <v>43</v>
      </c>
      <c r="D66" s="14"/>
      <c r="F66" s="339"/>
    </row>
    <row r="67" spans="1:9" x14ac:dyDescent="0.3">
      <c r="A67" s="422"/>
      <c r="B67" s="23"/>
      <c r="C67" s="420"/>
      <c r="D67" s="14"/>
      <c r="E67" s="338"/>
      <c r="F67" s="339"/>
    </row>
    <row r="68" spans="1:9" x14ac:dyDescent="0.3">
      <c r="A68" s="24"/>
      <c r="B68" s="25"/>
      <c r="C68" s="26"/>
      <c r="D68" s="14"/>
      <c r="E68" s="338"/>
      <c r="F68" s="339"/>
    </row>
    <row r="69" spans="1:9" x14ac:dyDescent="0.3">
      <c r="A69" s="24"/>
      <c r="B69" s="29"/>
      <c r="C69" s="26"/>
      <c r="D69" s="14"/>
      <c r="E69" s="27"/>
      <c r="F69" s="28"/>
    </row>
    <row r="70" spans="1:9" ht="23.5" customHeight="1" x14ac:dyDescent="0.3">
      <c r="A70" s="831" t="s">
        <v>72</v>
      </c>
      <c r="B70" s="832"/>
      <c r="C70" s="832"/>
      <c r="D70" s="832"/>
      <c r="E70" s="832"/>
      <c r="F70" s="833"/>
    </row>
    <row r="71" spans="1:9" ht="312" customHeight="1" x14ac:dyDescent="0.3">
      <c r="A71" s="824" t="s">
        <v>73</v>
      </c>
      <c r="B71" s="824"/>
      <c r="C71" s="824"/>
      <c r="D71" s="824"/>
      <c r="E71" s="824"/>
      <c r="F71" s="825"/>
      <c r="G71" s="30"/>
      <c r="H71" s="30"/>
      <c r="I71" s="30"/>
    </row>
    <row r="72" spans="1:9" x14ac:dyDescent="0.3">
      <c r="A72" s="824"/>
      <c r="B72" s="824"/>
      <c r="C72" s="824"/>
      <c r="D72" s="824"/>
      <c r="E72" s="824"/>
      <c r="F72" s="825"/>
    </row>
    <row r="73" spans="1:9" x14ac:dyDescent="0.3">
      <c r="A73" s="824"/>
      <c r="B73" s="824"/>
      <c r="C73" s="824"/>
      <c r="D73" s="824"/>
      <c r="E73" s="824"/>
      <c r="F73" s="825"/>
    </row>
    <row r="74" spans="1:9" x14ac:dyDescent="0.3">
      <c r="A74" s="824"/>
      <c r="B74" s="824"/>
      <c r="C74" s="824"/>
      <c r="D74" s="824"/>
      <c r="E74" s="824"/>
      <c r="F74" s="825"/>
    </row>
    <row r="75" spans="1:9" x14ac:dyDescent="0.3">
      <c r="A75" s="824"/>
      <c r="B75" s="824"/>
      <c r="C75" s="824"/>
      <c r="D75" s="824"/>
      <c r="E75" s="824"/>
      <c r="F75" s="825"/>
    </row>
    <row r="76" spans="1:9" x14ac:dyDescent="0.3">
      <c r="A76" s="824"/>
      <c r="B76" s="824"/>
      <c r="C76" s="824"/>
      <c r="D76" s="824"/>
      <c r="E76" s="824"/>
      <c r="F76" s="825"/>
    </row>
    <row r="77" spans="1:9" ht="14.5" thickBot="1" x14ac:dyDescent="0.35">
      <c r="A77" s="826"/>
      <c r="B77" s="826"/>
      <c r="C77" s="826"/>
      <c r="D77" s="826"/>
      <c r="E77" s="826"/>
      <c r="F77" s="827"/>
    </row>
    <row r="78" spans="1:9" x14ac:dyDescent="0.3">
      <c r="A78" s="30"/>
      <c r="B78" s="30"/>
      <c r="C78" s="30"/>
      <c r="D78" s="30"/>
      <c r="E78" s="30"/>
      <c r="F78" s="30"/>
    </row>
    <row r="79" spans="1:9" x14ac:dyDescent="0.3">
      <c r="A79" s="30"/>
      <c r="B79" s="30"/>
      <c r="C79" s="30"/>
      <c r="D79" s="30"/>
      <c r="E79" s="30"/>
      <c r="F79" s="30"/>
    </row>
    <row r="80" spans="1:9" x14ac:dyDescent="0.3">
      <c r="A80" s="30"/>
      <c r="B80" s="30"/>
      <c r="C80" s="30"/>
      <c r="D80" s="30"/>
      <c r="E80" s="30"/>
      <c r="F80" s="30"/>
    </row>
    <row r="81" spans="1:6" x14ac:dyDescent="0.3">
      <c r="A81" s="30"/>
      <c r="B81" s="30"/>
      <c r="C81" s="30"/>
      <c r="D81" s="30"/>
      <c r="E81" s="30"/>
      <c r="F81" s="30"/>
    </row>
    <row r="82" spans="1:6" x14ac:dyDescent="0.3">
      <c r="A82" s="30"/>
      <c r="B82" s="30"/>
      <c r="C82" s="30"/>
      <c r="D82" s="30"/>
      <c r="E82" s="30"/>
      <c r="F82" s="30"/>
    </row>
    <row r="83" spans="1:6" x14ac:dyDescent="0.3">
      <c r="A83" s="30"/>
      <c r="B83" s="30"/>
      <c r="C83" s="30"/>
      <c r="D83" s="30"/>
      <c r="E83" s="30"/>
      <c r="F83" s="30"/>
    </row>
    <row r="84" spans="1:6" x14ac:dyDescent="0.3">
      <c r="A84" s="30"/>
      <c r="B84" s="30"/>
      <c r="C84" s="30"/>
      <c r="D84" s="30"/>
      <c r="E84" s="30"/>
      <c r="F84" s="30"/>
    </row>
    <row r="85" spans="1:6" x14ac:dyDescent="0.3">
      <c r="A85" s="30"/>
      <c r="B85" s="30"/>
      <c r="C85" s="30"/>
      <c r="D85" s="30"/>
      <c r="E85" s="30"/>
      <c r="F85" s="30"/>
    </row>
    <row r="86" spans="1:6" x14ac:dyDescent="0.3">
      <c r="A86" s="31"/>
    </row>
    <row r="87" spans="1:6" x14ac:dyDescent="0.3">
      <c r="A87" s="31"/>
    </row>
  </sheetData>
  <mergeCells count="10">
    <mergeCell ref="A71:F77"/>
    <mergeCell ref="B7:D7"/>
    <mergeCell ref="E9:F9"/>
    <mergeCell ref="A70:F70"/>
    <mergeCell ref="A2:D2"/>
    <mergeCell ref="E2:F2"/>
    <mergeCell ref="B3:D3"/>
    <mergeCell ref="B4:D4"/>
    <mergeCell ref="B5:D5"/>
    <mergeCell ref="B6:D6"/>
  </mergeCells>
  <pageMargins left="0.45" right="0.45" top="0.3" bottom="0.3" header="0.3" footer="0.3"/>
  <pageSetup paperSize="9" scale="55"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70144-F657-487F-AEC1-A44129ECD660}">
  <sheetPr codeName="Manure_to_Biogas">
    <tabColor rgb="FF92D050"/>
  </sheetPr>
  <dimension ref="B1:CF144"/>
  <sheetViews>
    <sheetView showGridLines="0" topLeftCell="D1" zoomScale="70" zoomScaleNormal="70" workbookViewId="0">
      <pane ySplit="1" topLeftCell="A2" activePane="bottomLeft" state="frozen"/>
      <selection pane="bottomLeft" activeCell="K9" sqref="K9"/>
    </sheetView>
  </sheetViews>
  <sheetFormatPr defaultRowHeight="14.5" x14ac:dyDescent="0.35"/>
  <cols>
    <col min="1" max="1" width="4.453125" customWidth="1"/>
    <col min="2" max="2" width="48.54296875" customWidth="1"/>
    <col min="3" max="3" width="20.453125" bestFit="1" customWidth="1"/>
    <col min="4" max="4" width="22.1796875" customWidth="1"/>
    <col min="5" max="5" width="18.54296875" customWidth="1"/>
    <col min="6" max="6" width="19.81640625" customWidth="1"/>
    <col min="7" max="7" width="23" customWidth="1"/>
    <col min="8" max="8" width="22" customWidth="1"/>
    <col min="9" max="9" width="28.1796875" customWidth="1"/>
    <col min="10" max="10" width="24.26953125" customWidth="1"/>
    <col min="11" max="11" width="35.26953125" bestFit="1" customWidth="1"/>
    <col min="12" max="12" width="26.54296875" customWidth="1"/>
    <col min="13" max="13" width="18.26953125" customWidth="1"/>
    <col min="14" max="14" width="21" customWidth="1"/>
    <col min="15" max="15" width="7" customWidth="1"/>
    <col min="16" max="16" width="32.26953125" customWidth="1"/>
    <col min="17" max="17" width="21.1796875" customWidth="1"/>
    <col min="18" max="18" width="19.1796875" customWidth="1"/>
    <col min="19" max="19" width="15.81640625" customWidth="1"/>
    <col min="20" max="20" width="17.54296875" customWidth="1"/>
    <col min="21" max="21" width="25.453125" customWidth="1"/>
    <col min="22" max="22" width="17.26953125" bestFit="1" customWidth="1"/>
    <col min="23" max="23" width="27.7265625" customWidth="1"/>
    <col min="24" max="24" width="24.7265625" bestFit="1" customWidth="1"/>
    <col min="25" max="25" width="35.26953125" bestFit="1" customWidth="1"/>
    <col min="26" max="26" width="26.81640625" customWidth="1"/>
    <col min="27" max="27" width="16" customWidth="1"/>
    <col min="28" max="28" width="20" customWidth="1"/>
    <col min="29" max="29" width="9.26953125" customWidth="1"/>
    <col min="30" max="30" width="31.453125" customWidth="1"/>
    <col min="31" max="31" width="20.453125" customWidth="1"/>
    <col min="32" max="32" width="15.453125" customWidth="1"/>
    <col min="33" max="33" width="18.453125" customWidth="1"/>
    <col min="34" max="34" width="18.81640625" customWidth="1"/>
    <col min="35" max="35" width="22.453125" bestFit="1" customWidth="1"/>
    <col min="36" max="36" width="17.26953125" bestFit="1" customWidth="1"/>
    <col min="37" max="37" width="29.54296875" customWidth="1"/>
    <col min="38" max="38" width="24.7265625" bestFit="1" customWidth="1"/>
    <col min="39" max="39" width="35.26953125" bestFit="1" customWidth="1"/>
    <col min="40" max="40" width="25.26953125" bestFit="1" customWidth="1"/>
    <col min="41" max="41" width="15.81640625" customWidth="1"/>
    <col min="42" max="42" width="20.81640625" customWidth="1"/>
    <col min="44" max="44" width="31.81640625" customWidth="1"/>
    <col min="45" max="45" width="17.81640625" customWidth="1"/>
    <col min="46" max="46" width="13.1796875" customWidth="1"/>
    <col min="47" max="47" width="17.1796875" customWidth="1"/>
    <col min="48" max="48" width="18.453125" customWidth="1"/>
    <col min="49" max="49" width="24.26953125" customWidth="1"/>
    <col min="50" max="50" width="17.26953125" bestFit="1" customWidth="1"/>
    <col min="51" max="51" width="28.7265625" customWidth="1"/>
    <col min="52" max="52" width="24.7265625" bestFit="1" customWidth="1"/>
    <col min="53" max="53" width="35.26953125" bestFit="1" customWidth="1"/>
    <col min="54" max="54" width="27" customWidth="1"/>
    <col min="55" max="55" width="15.54296875" customWidth="1"/>
    <col min="56" max="56" width="20.1796875" customWidth="1"/>
    <col min="58" max="58" width="32.453125" customWidth="1"/>
    <col min="59" max="59" width="19.26953125" customWidth="1"/>
    <col min="60" max="60" width="15" customWidth="1"/>
    <col min="61" max="61" width="16.54296875" customWidth="1"/>
    <col min="62" max="62" width="17.453125" customWidth="1"/>
    <col min="63" max="63" width="25.453125" customWidth="1"/>
    <col min="64" max="64" width="17.26953125" bestFit="1" customWidth="1"/>
    <col min="65" max="65" width="28.1796875" customWidth="1"/>
    <col min="66" max="66" width="24.7265625" bestFit="1" customWidth="1"/>
    <col min="67" max="67" width="35.26953125" bestFit="1" customWidth="1"/>
    <col min="68" max="68" width="25.7265625" customWidth="1"/>
    <col min="69" max="69" width="15.54296875" customWidth="1"/>
    <col min="70" max="70" width="19.26953125" customWidth="1"/>
    <col min="72" max="72" width="31.453125" customWidth="1"/>
    <col min="73" max="73" width="18.81640625" customWidth="1"/>
    <col min="74" max="74" width="13.26953125" customWidth="1"/>
    <col min="75" max="76" width="16.453125" customWidth="1"/>
    <col min="77" max="77" width="22.54296875" customWidth="1"/>
    <col min="78" max="78" width="17.453125" customWidth="1"/>
    <col min="79" max="80" width="28.453125" customWidth="1"/>
    <col min="81" max="81" width="35.26953125" bestFit="1" customWidth="1"/>
    <col min="82" max="82" width="25.26953125" bestFit="1" customWidth="1"/>
    <col min="83" max="83" width="15.7265625" customWidth="1"/>
    <col min="84" max="84" width="19" customWidth="1"/>
  </cols>
  <sheetData>
    <row r="1" spans="2:84" ht="30" customHeight="1" x14ac:dyDescent="0.35"/>
    <row r="2" spans="2:84" ht="64.5" customHeight="1" x14ac:dyDescent="0.75">
      <c r="B2" s="842" t="s">
        <v>615</v>
      </c>
      <c r="C2" s="842"/>
      <c r="D2" s="842"/>
      <c r="E2" s="842"/>
      <c r="F2" s="842"/>
      <c r="G2" s="842"/>
      <c r="H2" s="842"/>
      <c r="I2" s="842"/>
      <c r="J2" s="349" t="s">
        <v>616</v>
      </c>
      <c r="L2" s="330"/>
      <c r="M2" s="330"/>
      <c r="N2" s="330"/>
      <c r="O2" s="330"/>
      <c r="P2" s="330"/>
    </row>
    <row r="4" spans="2:84" ht="15" thickBot="1" x14ac:dyDescent="0.4"/>
    <row r="5" spans="2:84" ht="31.5" customHeight="1" thickBot="1" x14ac:dyDescent="0.4">
      <c r="B5" s="444" t="s">
        <v>667</v>
      </c>
      <c r="C5" s="445"/>
      <c r="D5" s="445"/>
      <c r="E5" s="445"/>
      <c r="F5" s="445"/>
      <c r="G5" s="445"/>
      <c r="H5" s="445"/>
      <c r="I5" s="445"/>
      <c r="J5" s="445"/>
      <c r="K5" s="445"/>
      <c r="L5" s="445"/>
      <c r="M5" s="445"/>
      <c r="N5" s="445"/>
      <c r="O5" s="445"/>
      <c r="P5" s="445"/>
      <c r="Q5" s="445"/>
      <c r="R5" s="445"/>
      <c r="S5" s="445"/>
      <c r="T5" s="445"/>
      <c r="U5" s="445"/>
      <c r="V5" s="445"/>
      <c r="W5" s="445"/>
      <c r="X5" s="445"/>
      <c r="Y5" s="445"/>
      <c r="Z5" s="445"/>
      <c r="AA5" s="445"/>
      <c r="AB5" s="445"/>
      <c r="AC5" s="445"/>
      <c r="AD5" s="445"/>
      <c r="AE5" s="445"/>
      <c r="AF5" s="445"/>
      <c r="AG5" s="445"/>
      <c r="AH5" s="445"/>
      <c r="AI5" s="445"/>
      <c r="AJ5" s="445"/>
      <c r="AK5" s="445"/>
      <c r="AL5" s="445"/>
      <c r="AM5" s="445"/>
      <c r="AN5" s="445"/>
      <c r="AO5" s="445"/>
      <c r="AP5" s="445"/>
      <c r="AQ5" s="445"/>
      <c r="AR5" s="445"/>
      <c r="AS5" s="445"/>
      <c r="AT5" s="445"/>
      <c r="AU5" s="445"/>
      <c r="AV5" s="445"/>
      <c r="AW5" s="445"/>
      <c r="AX5" s="445"/>
      <c r="AY5" s="445"/>
      <c r="AZ5" s="445"/>
      <c r="BA5" s="445"/>
      <c r="BB5" s="445"/>
      <c r="BC5" s="445"/>
      <c r="BD5" s="445"/>
      <c r="BE5" s="445"/>
      <c r="BF5" s="445"/>
      <c r="BG5" s="445"/>
      <c r="BH5" s="445"/>
      <c r="BI5" s="445"/>
      <c r="BJ5" s="445"/>
      <c r="BK5" s="445"/>
      <c r="BL5" s="445"/>
      <c r="BM5" s="445"/>
      <c r="BN5" s="445"/>
      <c r="BO5" s="445"/>
      <c r="BP5" s="445"/>
      <c r="BQ5" s="445"/>
      <c r="BR5" s="445"/>
      <c r="BS5" s="445"/>
      <c r="BT5" s="445"/>
      <c r="BU5" s="445"/>
      <c r="BV5" s="445"/>
      <c r="BW5" s="445"/>
      <c r="BX5" s="445"/>
      <c r="BY5" s="445"/>
      <c r="BZ5" s="445"/>
      <c r="CA5" s="445"/>
      <c r="CB5" s="445"/>
      <c r="CC5" s="445"/>
      <c r="CD5" s="445"/>
      <c r="CE5" s="445"/>
      <c r="CF5" s="446"/>
    </row>
    <row r="6" spans="2:84" ht="77.150000000000006" customHeight="1" x14ac:dyDescent="0.35">
      <c r="B6" s="447" t="s">
        <v>74</v>
      </c>
      <c r="C6" s="448" t="s">
        <v>75</v>
      </c>
      <c r="D6" s="449" t="s">
        <v>76</v>
      </c>
      <c r="E6" s="449" t="s">
        <v>77</v>
      </c>
      <c r="F6" s="449" t="s">
        <v>78</v>
      </c>
      <c r="G6" s="449" t="s">
        <v>79</v>
      </c>
      <c r="H6" s="449" t="s">
        <v>80</v>
      </c>
      <c r="I6" s="449" t="s">
        <v>81</v>
      </c>
      <c r="J6" s="449" t="s">
        <v>82</v>
      </c>
      <c r="K6" s="449" t="s">
        <v>83</v>
      </c>
      <c r="L6" s="449" t="s">
        <v>84</v>
      </c>
      <c r="M6" s="449" t="s">
        <v>85</v>
      </c>
      <c r="N6" s="450" t="s">
        <v>86</v>
      </c>
      <c r="P6" s="447" t="s">
        <v>87</v>
      </c>
      <c r="Q6" s="448" t="s">
        <v>88</v>
      </c>
      <c r="R6" s="449" t="s">
        <v>89</v>
      </c>
      <c r="S6" s="449" t="s">
        <v>90</v>
      </c>
      <c r="T6" s="449" t="s">
        <v>91</v>
      </c>
      <c r="U6" s="449" t="s">
        <v>92</v>
      </c>
      <c r="V6" s="449" t="s">
        <v>93</v>
      </c>
      <c r="W6" s="449" t="s">
        <v>94</v>
      </c>
      <c r="X6" s="449" t="s">
        <v>95</v>
      </c>
      <c r="Y6" s="449" t="s">
        <v>96</v>
      </c>
      <c r="Z6" s="449" t="s">
        <v>97</v>
      </c>
      <c r="AA6" s="449" t="s">
        <v>98</v>
      </c>
      <c r="AB6" s="450" t="s">
        <v>99</v>
      </c>
      <c r="AD6" s="447" t="s">
        <v>100</v>
      </c>
      <c r="AE6" s="448" t="s">
        <v>101</v>
      </c>
      <c r="AF6" s="449" t="s">
        <v>102</v>
      </c>
      <c r="AG6" s="449" t="s">
        <v>103</v>
      </c>
      <c r="AH6" s="449" t="s">
        <v>104</v>
      </c>
      <c r="AI6" s="449" t="s">
        <v>105</v>
      </c>
      <c r="AJ6" s="449" t="s">
        <v>106</v>
      </c>
      <c r="AK6" s="449" t="s">
        <v>107</v>
      </c>
      <c r="AL6" s="449" t="s">
        <v>108</v>
      </c>
      <c r="AM6" s="449" t="s">
        <v>109</v>
      </c>
      <c r="AN6" s="449" t="s">
        <v>110</v>
      </c>
      <c r="AO6" s="449" t="s">
        <v>111</v>
      </c>
      <c r="AP6" s="450" t="s">
        <v>112</v>
      </c>
      <c r="AR6" s="447" t="s">
        <v>113</v>
      </c>
      <c r="AS6" s="448" t="s">
        <v>114</v>
      </c>
      <c r="AT6" s="449" t="s">
        <v>115</v>
      </c>
      <c r="AU6" s="449" t="s">
        <v>116</v>
      </c>
      <c r="AV6" s="449" t="s">
        <v>117</v>
      </c>
      <c r="AW6" s="449" t="s">
        <v>118</v>
      </c>
      <c r="AX6" s="449" t="s">
        <v>119</v>
      </c>
      <c r="AY6" s="449" t="s">
        <v>120</v>
      </c>
      <c r="AZ6" s="449" t="s">
        <v>121</v>
      </c>
      <c r="BA6" s="449" t="s">
        <v>122</v>
      </c>
      <c r="BB6" s="449" t="s">
        <v>123</v>
      </c>
      <c r="BC6" s="449" t="s">
        <v>124</v>
      </c>
      <c r="BD6" s="450" t="s">
        <v>125</v>
      </c>
      <c r="BF6" s="447" t="s">
        <v>126</v>
      </c>
      <c r="BG6" s="448" t="s">
        <v>127</v>
      </c>
      <c r="BH6" s="449" t="s">
        <v>128</v>
      </c>
      <c r="BI6" s="449" t="s">
        <v>129</v>
      </c>
      <c r="BJ6" s="449" t="s">
        <v>130</v>
      </c>
      <c r="BK6" s="449" t="s">
        <v>131</v>
      </c>
      <c r="BL6" s="449" t="s">
        <v>132</v>
      </c>
      <c r="BM6" s="449" t="s">
        <v>133</v>
      </c>
      <c r="BN6" s="449" t="s">
        <v>134</v>
      </c>
      <c r="BO6" s="449" t="s">
        <v>135</v>
      </c>
      <c r="BP6" s="449" t="s">
        <v>136</v>
      </c>
      <c r="BQ6" s="449" t="s">
        <v>137</v>
      </c>
      <c r="BR6" s="450" t="s">
        <v>138</v>
      </c>
      <c r="BT6" s="447" t="s">
        <v>139</v>
      </c>
      <c r="BU6" s="448" t="s">
        <v>140</v>
      </c>
      <c r="BV6" s="449" t="s">
        <v>141</v>
      </c>
      <c r="BW6" s="449" t="s">
        <v>142</v>
      </c>
      <c r="BX6" s="449" t="s">
        <v>143</v>
      </c>
      <c r="BY6" s="449" t="s">
        <v>144</v>
      </c>
      <c r="BZ6" s="449" t="s">
        <v>145</v>
      </c>
      <c r="CA6" s="449" t="s">
        <v>146</v>
      </c>
      <c r="CB6" s="449" t="s">
        <v>147</v>
      </c>
      <c r="CC6" s="449" t="s">
        <v>148</v>
      </c>
      <c r="CD6" s="449" t="s">
        <v>149</v>
      </c>
      <c r="CE6" s="449" t="s">
        <v>150</v>
      </c>
      <c r="CF6" s="450" t="s">
        <v>151</v>
      </c>
    </row>
    <row r="7" spans="2:84" ht="40.5" customHeight="1" thickBot="1" x14ac:dyDescent="0.4">
      <c r="B7" s="451"/>
      <c r="C7" s="452" t="s">
        <v>153</v>
      </c>
      <c r="D7" s="453" t="s">
        <v>668</v>
      </c>
      <c r="E7" s="453" t="s">
        <v>154</v>
      </c>
      <c r="F7" s="453" t="s">
        <v>669</v>
      </c>
      <c r="G7" s="453" t="s">
        <v>670</v>
      </c>
      <c r="H7" s="453" t="s">
        <v>155</v>
      </c>
      <c r="I7" s="453" t="s">
        <v>671</v>
      </c>
      <c r="J7" s="453" t="s">
        <v>672</v>
      </c>
      <c r="K7" s="454" t="s">
        <v>156</v>
      </c>
      <c r="L7" s="453" t="s">
        <v>673</v>
      </c>
      <c r="M7" s="453" t="s">
        <v>674</v>
      </c>
      <c r="N7" s="455" t="s">
        <v>675</v>
      </c>
      <c r="P7" s="451"/>
      <c r="Q7" s="452" t="s">
        <v>153</v>
      </c>
      <c r="R7" s="453" t="s">
        <v>668</v>
      </c>
      <c r="S7" s="453" t="s">
        <v>154</v>
      </c>
      <c r="T7" s="453" t="s">
        <v>669</v>
      </c>
      <c r="U7" s="453" t="s">
        <v>670</v>
      </c>
      <c r="V7" s="453" t="s">
        <v>155</v>
      </c>
      <c r="W7" s="453" t="s">
        <v>671</v>
      </c>
      <c r="X7" s="453" t="s">
        <v>672</v>
      </c>
      <c r="Y7" s="454" t="s">
        <v>156</v>
      </c>
      <c r="Z7" s="453" t="s">
        <v>673</v>
      </c>
      <c r="AA7" s="453" t="s">
        <v>674</v>
      </c>
      <c r="AB7" s="455" t="s">
        <v>675</v>
      </c>
      <c r="AD7" s="451" t="s">
        <v>152</v>
      </c>
      <c r="AE7" s="452" t="s">
        <v>153</v>
      </c>
      <c r="AF7" s="453" t="s">
        <v>668</v>
      </c>
      <c r="AG7" s="453" t="s">
        <v>154</v>
      </c>
      <c r="AH7" s="453" t="s">
        <v>669</v>
      </c>
      <c r="AI7" s="453" t="s">
        <v>670</v>
      </c>
      <c r="AJ7" s="453" t="s">
        <v>155</v>
      </c>
      <c r="AK7" s="453" t="s">
        <v>671</v>
      </c>
      <c r="AL7" s="453" t="s">
        <v>672</v>
      </c>
      <c r="AM7" s="454" t="s">
        <v>156</v>
      </c>
      <c r="AN7" s="453" t="s">
        <v>673</v>
      </c>
      <c r="AO7" s="453" t="s">
        <v>674</v>
      </c>
      <c r="AP7" s="455" t="s">
        <v>675</v>
      </c>
      <c r="AR7" s="451" t="s">
        <v>152</v>
      </c>
      <c r="AS7" s="452" t="s">
        <v>153</v>
      </c>
      <c r="AT7" s="453" t="s">
        <v>668</v>
      </c>
      <c r="AU7" s="453" t="s">
        <v>154</v>
      </c>
      <c r="AV7" s="453" t="s">
        <v>669</v>
      </c>
      <c r="AW7" s="453" t="s">
        <v>670</v>
      </c>
      <c r="AX7" s="453" t="s">
        <v>155</v>
      </c>
      <c r="AY7" s="453" t="s">
        <v>671</v>
      </c>
      <c r="AZ7" s="453" t="s">
        <v>672</v>
      </c>
      <c r="BA7" s="454" t="s">
        <v>156</v>
      </c>
      <c r="BB7" s="453" t="s">
        <v>673</v>
      </c>
      <c r="BC7" s="453" t="s">
        <v>674</v>
      </c>
      <c r="BD7" s="455" t="s">
        <v>675</v>
      </c>
      <c r="BF7" s="451" t="s">
        <v>152</v>
      </c>
      <c r="BG7" s="452" t="s">
        <v>153</v>
      </c>
      <c r="BH7" s="453" t="s">
        <v>668</v>
      </c>
      <c r="BI7" s="453" t="s">
        <v>154</v>
      </c>
      <c r="BJ7" s="453" t="s">
        <v>669</v>
      </c>
      <c r="BK7" s="453" t="s">
        <v>670</v>
      </c>
      <c r="BL7" s="453" t="s">
        <v>155</v>
      </c>
      <c r="BM7" s="453" t="s">
        <v>671</v>
      </c>
      <c r="BN7" s="453" t="s">
        <v>672</v>
      </c>
      <c r="BO7" s="454" t="s">
        <v>156</v>
      </c>
      <c r="BP7" s="453" t="s">
        <v>673</v>
      </c>
      <c r="BQ7" s="453" t="s">
        <v>674</v>
      </c>
      <c r="BR7" s="455" t="s">
        <v>675</v>
      </c>
      <c r="BT7" s="451" t="s">
        <v>152</v>
      </c>
      <c r="BU7" s="452" t="s">
        <v>153</v>
      </c>
      <c r="BV7" s="453" t="s">
        <v>668</v>
      </c>
      <c r="BW7" s="453" t="s">
        <v>154</v>
      </c>
      <c r="BX7" s="453" t="s">
        <v>669</v>
      </c>
      <c r="BY7" s="453" t="s">
        <v>670</v>
      </c>
      <c r="BZ7" s="453" t="s">
        <v>155</v>
      </c>
      <c r="CA7" s="453" t="s">
        <v>671</v>
      </c>
      <c r="CB7" s="453" t="s">
        <v>672</v>
      </c>
      <c r="CC7" s="454" t="s">
        <v>156</v>
      </c>
      <c r="CD7" s="453" t="s">
        <v>673</v>
      </c>
      <c r="CE7" s="453" t="s">
        <v>674</v>
      </c>
      <c r="CF7" s="455" t="s">
        <v>675</v>
      </c>
    </row>
    <row r="8" spans="2:84" ht="41.25" customHeight="1" x14ac:dyDescent="0.35">
      <c r="B8" s="447" t="s">
        <v>157</v>
      </c>
      <c r="C8" s="452"/>
      <c r="D8" s="453"/>
      <c r="E8" s="453"/>
      <c r="F8" s="453"/>
      <c r="G8" s="453"/>
      <c r="H8" s="453"/>
      <c r="I8" s="453"/>
      <c r="J8" s="453"/>
      <c r="K8" s="453"/>
      <c r="L8" s="453"/>
      <c r="M8" s="453"/>
      <c r="N8" s="455"/>
      <c r="P8" s="447" t="s">
        <v>158</v>
      </c>
      <c r="Q8" s="452"/>
      <c r="R8" s="453"/>
      <c r="S8" s="453"/>
      <c r="T8" s="453"/>
      <c r="U8" s="453"/>
      <c r="V8" s="453"/>
      <c r="W8" s="453"/>
      <c r="X8" s="453"/>
      <c r="Y8" s="453"/>
      <c r="Z8" s="453"/>
      <c r="AA8" s="453"/>
      <c r="AB8" s="455"/>
      <c r="AD8" s="447" t="s">
        <v>159</v>
      </c>
      <c r="AE8" s="452"/>
      <c r="AF8" s="453"/>
      <c r="AG8" s="453"/>
      <c r="AH8" s="453"/>
      <c r="AI8" s="453"/>
      <c r="AJ8" s="453"/>
      <c r="AK8" s="453"/>
      <c r="AL8" s="453"/>
      <c r="AM8" s="453"/>
      <c r="AN8" s="453"/>
      <c r="AO8" s="453"/>
      <c r="AP8" s="455"/>
      <c r="AR8" s="447" t="s">
        <v>160</v>
      </c>
      <c r="AS8" s="452"/>
      <c r="AT8" s="453"/>
      <c r="AU8" s="453"/>
      <c r="AV8" s="453"/>
      <c r="AW8" s="453"/>
      <c r="AX8" s="453"/>
      <c r="AY8" s="453"/>
      <c r="AZ8" s="453"/>
      <c r="BA8" s="453"/>
      <c r="BB8" s="453"/>
      <c r="BC8" s="453"/>
      <c r="BD8" s="455"/>
      <c r="BF8" s="447" t="s">
        <v>161</v>
      </c>
      <c r="BG8" s="452"/>
      <c r="BH8" s="453"/>
      <c r="BI8" s="453"/>
      <c r="BJ8" s="453"/>
      <c r="BK8" s="453"/>
      <c r="BL8" s="453"/>
      <c r="BM8" s="453"/>
      <c r="BN8" s="453"/>
      <c r="BO8" s="453"/>
      <c r="BP8" s="453"/>
      <c r="BQ8" s="453"/>
      <c r="BR8" s="455"/>
      <c r="BT8" s="447" t="s">
        <v>162</v>
      </c>
      <c r="BU8" s="452"/>
      <c r="BV8" s="453"/>
      <c r="BW8" s="453"/>
      <c r="BX8" s="453"/>
      <c r="BY8" s="453"/>
      <c r="BZ8" s="453"/>
      <c r="CA8" s="453"/>
      <c r="CB8" s="453"/>
      <c r="CC8" s="453"/>
      <c r="CD8" s="453"/>
      <c r="CE8" s="453"/>
      <c r="CF8" s="455"/>
    </row>
    <row r="9" spans="2:84" ht="18" customHeight="1" thickBot="1" x14ac:dyDescent="0.4">
      <c r="B9" s="456" t="s">
        <v>152</v>
      </c>
      <c r="C9" s="457"/>
      <c r="D9" s="458"/>
      <c r="E9" s="458"/>
      <c r="F9" s="458"/>
      <c r="G9" s="459"/>
      <c r="H9" s="32">
        <f t="shared" ref="H9:H20" si="0">MIN(0.95, MAX(0.104, EXP(15175*((G9+273.15)-303.15)/(1.987*(G9+273.15)*303.15))))</f>
        <v>0.104</v>
      </c>
      <c r="I9" s="459"/>
      <c r="J9" s="33">
        <f t="shared" ref="J9:J20" si="1">(B$20*D9*I9*E9*0.8)+L9</f>
        <v>0</v>
      </c>
      <c r="K9" s="458" t="s">
        <v>163</v>
      </c>
      <c r="L9" s="460">
        <v>0</v>
      </c>
      <c r="M9" s="33">
        <f t="shared" ref="M9:M68" si="2">J9*H9</f>
        <v>0</v>
      </c>
      <c r="N9" s="34">
        <f t="shared" ref="N9:N68" si="3">IFERROR(M9*B$16*density_CH4*g2MT/ft32m3*(F9/E9), 0)</f>
        <v>0</v>
      </c>
      <c r="P9" s="35" t="str">
        <f>$B$9</f>
        <v>-</v>
      </c>
      <c r="Q9" s="36" t="str">
        <f t="shared" ref="Q9:Q68" si="4">IF($C9=0, "", $C9)</f>
        <v/>
      </c>
      <c r="R9" s="458"/>
      <c r="S9" s="275">
        <f t="shared" ref="S9:S68" si="5">E9</f>
        <v>0</v>
      </c>
      <c r="T9" s="458"/>
      <c r="U9" s="65">
        <f t="shared" ref="U9:U68" si="6">G9</f>
        <v>0</v>
      </c>
      <c r="V9" s="32">
        <f t="shared" ref="V9:V68" si="7">MIN(0.95, MAX(0.104, EXP(15175*((U9+273)-303.16)/(1.987*(U9+273)*303.16))))</f>
        <v>0.104</v>
      </c>
      <c r="W9" s="458"/>
      <c r="X9" s="33">
        <f t="shared" ref="X9:X68" si="8">(P$20*R9*W9*S9*0.8)+Z9</f>
        <v>0</v>
      </c>
      <c r="Y9" s="458" t="s">
        <v>163</v>
      </c>
      <c r="Z9" s="460">
        <v>0</v>
      </c>
      <c r="AA9" s="33">
        <f t="shared" ref="AA9:AA68" si="9">X9*V9</f>
        <v>0</v>
      </c>
      <c r="AB9" s="34">
        <f t="shared" ref="AB9:AB68" si="10">IFERROR(AA9*P$16*density_CH4*g2MT/ft32m3*(T9/S9), 0)</f>
        <v>0</v>
      </c>
      <c r="AD9" s="35" t="str">
        <f>$B$9</f>
        <v>-</v>
      </c>
      <c r="AE9" s="36" t="str">
        <f t="shared" ref="AE9:AE68" si="11">IF($C9=0, "", $C9)</f>
        <v/>
      </c>
      <c r="AF9" s="458"/>
      <c r="AG9" s="275">
        <f t="shared" ref="AG9:AG68" si="12">E9</f>
        <v>0</v>
      </c>
      <c r="AH9" s="458"/>
      <c r="AI9" s="65">
        <f t="shared" ref="AI9:AI68" si="13">G9</f>
        <v>0</v>
      </c>
      <c r="AJ9" s="32">
        <f t="shared" ref="AJ9:AJ68" si="14">MIN(0.95, MAX(0.104, EXP(15175*((AI9+273)-303.16)/(1.987*(AI9+273)*303.16))))</f>
        <v>0.104</v>
      </c>
      <c r="AK9" s="459"/>
      <c r="AL9" s="33">
        <f t="shared" ref="AL9:AL68" si="15">(AD$20*AF9*AK9*AG9*0.8)+AN9</f>
        <v>0</v>
      </c>
      <c r="AM9" s="458" t="s">
        <v>163</v>
      </c>
      <c r="AN9" s="460">
        <v>0</v>
      </c>
      <c r="AO9" s="33">
        <f t="shared" ref="AO9:AO68" si="16">AL9*AJ9</f>
        <v>0</v>
      </c>
      <c r="AP9" s="34">
        <f t="shared" ref="AP9:AP68" si="17">IFERROR(AO9*AD$16*density_CH4*g2MT/ft32m3*(AH9/AG9), 0)</f>
        <v>0</v>
      </c>
      <c r="AR9" s="35" t="str">
        <f>$B$9</f>
        <v>-</v>
      </c>
      <c r="AS9" s="36" t="str">
        <f t="shared" ref="AS9:AS68" si="18">IF($C9=0, "", $C9)</f>
        <v/>
      </c>
      <c r="AT9" s="458"/>
      <c r="AU9" s="275">
        <f t="shared" ref="AU9:AU68" si="19">E9</f>
        <v>0</v>
      </c>
      <c r="AV9" s="458"/>
      <c r="AW9" s="65">
        <f t="shared" ref="AW9:AW68" si="20">G9</f>
        <v>0</v>
      </c>
      <c r="AX9" s="32">
        <f t="shared" ref="AX9:AX68" si="21">MIN(0.95, MAX(0.104, EXP(15175*((AW9+273)-303.16)/(1.987*(AW9+273)*303.16))))</f>
        <v>0.104</v>
      </c>
      <c r="AY9" s="459"/>
      <c r="AZ9" s="33">
        <f t="shared" ref="AZ9:AZ68" si="22">(AR$20*AT9*AY9*AU9*0.8)+BB9</f>
        <v>0</v>
      </c>
      <c r="BA9" s="458" t="s">
        <v>163</v>
      </c>
      <c r="BB9" s="460">
        <v>0</v>
      </c>
      <c r="BC9" s="33">
        <f t="shared" ref="BC9:BC68" si="23">AZ9*AX9</f>
        <v>0</v>
      </c>
      <c r="BD9" s="34">
        <f t="shared" ref="BD9:BD68" si="24">IFERROR(BC9*AR$16*density_CH4*g2MT/ft32m3*(AV9/AU9), 0)</f>
        <v>0</v>
      </c>
      <c r="BF9" s="35" t="str">
        <f>$B$9</f>
        <v>-</v>
      </c>
      <c r="BG9" s="36" t="str">
        <f t="shared" ref="BG9:BG68" si="25">IF($C9=0, "", $C9)</f>
        <v/>
      </c>
      <c r="BH9" s="458"/>
      <c r="BI9" s="275">
        <f t="shared" ref="BI9:BI68" si="26">E9</f>
        <v>0</v>
      </c>
      <c r="BJ9" s="458"/>
      <c r="BK9" s="65">
        <f t="shared" ref="BK9:BK68" si="27">G9</f>
        <v>0</v>
      </c>
      <c r="BL9" s="32">
        <f t="shared" ref="BL9:BL68" si="28">MIN(0.95, MAX(0.104, EXP(15175*((BK9+273)-303.16)/(1.987*(BK9+273)*303.16))))</f>
        <v>0.104</v>
      </c>
      <c r="BM9" s="459"/>
      <c r="BN9" s="33">
        <f t="shared" ref="BN9:BN68" si="29">(BF$20*BH9*BM9*BI9*0.8)+BP9</f>
        <v>0</v>
      </c>
      <c r="BO9" s="458" t="s">
        <v>163</v>
      </c>
      <c r="BP9" s="460">
        <v>0</v>
      </c>
      <c r="BQ9" s="33">
        <f t="shared" ref="BQ9:BQ68" si="30">BN9*BL9</f>
        <v>0</v>
      </c>
      <c r="BR9" s="34">
        <f t="shared" ref="BR9:BR68" si="31">IFERROR(BQ9*BF$16*density_CH4*g2MT/ft32m3*(BJ9/BI9), 0)</f>
        <v>0</v>
      </c>
      <c r="BT9" s="35" t="str">
        <f>$B$9</f>
        <v>-</v>
      </c>
      <c r="BU9" s="36" t="str">
        <f t="shared" ref="BU9:BU68" si="32">IF($C9=0, "", $C9)</f>
        <v/>
      </c>
      <c r="BV9" s="458"/>
      <c r="BW9" s="275">
        <f t="shared" ref="BW9:BW68" si="33">E9</f>
        <v>0</v>
      </c>
      <c r="BX9" s="458"/>
      <c r="BY9" s="65">
        <f t="shared" ref="BY9:BY68" si="34">G9</f>
        <v>0</v>
      </c>
      <c r="BZ9" s="32">
        <f t="shared" ref="BZ9:BZ68" si="35">MIN(0.95, MAX(0.104, EXP(15175*((BY9+273)-303.16)/(1.987*(BY9+273)*303.16))))</f>
        <v>0.104</v>
      </c>
      <c r="CA9" s="459"/>
      <c r="CB9" s="33">
        <f t="shared" ref="CB9:CB68" si="36">(BT$20*BV9*CA9*BW9*0.8)+CD9</f>
        <v>0</v>
      </c>
      <c r="CC9" s="458" t="s">
        <v>163</v>
      </c>
      <c r="CD9" s="460">
        <v>0</v>
      </c>
      <c r="CE9" s="33">
        <f t="shared" ref="CE9:CE68" si="37">CB9*BZ9</f>
        <v>0</v>
      </c>
      <c r="CF9" s="34">
        <f t="shared" ref="CF9:CF68" si="38">IFERROR(CE9*BT$16*density_CH4*g2MT/ft32m3*(BX9/BW9), 0)</f>
        <v>0</v>
      </c>
    </row>
    <row r="10" spans="2:84" ht="18" customHeight="1" x14ac:dyDescent="0.35">
      <c r="B10" s="461" t="s">
        <v>164</v>
      </c>
      <c r="C10" s="457"/>
      <c r="D10" s="458"/>
      <c r="E10" s="458"/>
      <c r="F10" s="458"/>
      <c r="G10" s="459"/>
      <c r="H10" s="32">
        <f t="shared" si="0"/>
        <v>0.104</v>
      </c>
      <c r="I10" s="459"/>
      <c r="J10" s="33">
        <f t="shared" si="1"/>
        <v>0</v>
      </c>
      <c r="K10" s="458" t="s">
        <v>163</v>
      </c>
      <c r="L10" s="33">
        <f t="shared" ref="L10:L68" si="39">IF(K9="Not Applicable", (J9-M9), 0)</f>
        <v>0</v>
      </c>
      <c r="M10" s="33">
        <f t="shared" si="2"/>
        <v>0</v>
      </c>
      <c r="N10" s="34">
        <f t="shared" si="3"/>
        <v>0</v>
      </c>
      <c r="P10" s="461" t="s">
        <v>165</v>
      </c>
      <c r="Q10" s="36" t="str">
        <f t="shared" si="4"/>
        <v/>
      </c>
      <c r="R10" s="458"/>
      <c r="S10" s="275">
        <f t="shared" si="5"/>
        <v>0</v>
      </c>
      <c r="T10" s="458"/>
      <c r="U10" s="65">
        <f t="shared" si="6"/>
        <v>0</v>
      </c>
      <c r="V10" s="32">
        <f t="shared" si="7"/>
        <v>0.104</v>
      </c>
      <c r="W10" s="458"/>
      <c r="X10" s="33">
        <f t="shared" si="8"/>
        <v>0</v>
      </c>
      <c r="Y10" s="458" t="s">
        <v>163</v>
      </c>
      <c r="Z10" s="33">
        <f>IF(Y9="Not Applicable", (X9-AA9), 0)</f>
        <v>0</v>
      </c>
      <c r="AA10" s="33">
        <f t="shared" si="9"/>
        <v>0</v>
      </c>
      <c r="AB10" s="34">
        <f t="shared" si="10"/>
        <v>0</v>
      </c>
      <c r="AD10" s="461" t="s">
        <v>166</v>
      </c>
      <c r="AE10" s="36" t="str">
        <f t="shared" si="11"/>
        <v/>
      </c>
      <c r="AF10" s="458"/>
      <c r="AG10" s="275">
        <f t="shared" si="12"/>
        <v>0</v>
      </c>
      <c r="AH10" s="458"/>
      <c r="AI10" s="65">
        <f t="shared" si="13"/>
        <v>0</v>
      </c>
      <c r="AJ10" s="32">
        <f t="shared" si="14"/>
        <v>0.104</v>
      </c>
      <c r="AK10" s="459"/>
      <c r="AL10" s="33">
        <f t="shared" si="15"/>
        <v>0</v>
      </c>
      <c r="AM10" s="458" t="s">
        <v>163</v>
      </c>
      <c r="AN10" s="33">
        <f>IF(AM9="Not Applicable", (AL9-AO9), 0)</f>
        <v>0</v>
      </c>
      <c r="AO10" s="33">
        <f t="shared" si="16"/>
        <v>0</v>
      </c>
      <c r="AP10" s="34">
        <f t="shared" si="17"/>
        <v>0</v>
      </c>
      <c r="AR10" s="461" t="s">
        <v>167</v>
      </c>
      <c r="AS10" s="36" t="str">
        <f t="shared" si="18"/>
        <v/>
      </c>
      <c r="AT10" s="458"/>
      <c r="AU10" s="275">
        <f t="shared" si="19"/>
        <v>0</v>
      </c>
      <c r="AV10" s="458"/>
      <c r="AW10" s="65">
        <f t="shared" si="20"/>
        <v>0</v>
      </c>
      <c r="AX10" s="32">
        <f t="shared" si="21"/>
        <v>0.104</v>
      </c>
      <c r="AY10" s="459"/>
      <c r="AZ10" s="33">
        <f t="shared" si="22"/>
        <v>0</v>
      </c>
      <c r="BA10" s="458" t="s">
        <v>163</v>
      </c>
      <c r="BB10" s="33">
        <f>IF(BA9="Not Applicable", (AZ9-BC9), 0)</f>
        <v>0</v>
      </c>
      <c r="BC10" s="33">
        <f t="shared" si="23"/>
        <v>0</v>
      </c>
      <c r="BD10" s="34">
        <f t="shared" si="24"/>
        <v>0</v>
      </c>
      <c r="BF10" s="461" t="s">
        <v>168</v>
      </c>
      <c r="BG10" s="36" t="str">
        <f t="shared" si="25"/>
        <v/>
      </c>
      <c r="BH10" s="458"/>
      <c r="BI10" s="275">
        <f t="shared" si="26"/>
        <v>0</v>
      </c>
      <c r="BJ10" s="458"/>
      <c r="BK10" s="65">
        <f t="shared" si="27"/>
        <v>0</v>
      </c>
      <c r="BL10" s="32">
        <f t="shared" si="28"/>
        <v>0.104</v>
      </c>
      <c r="BM10" s="459"/>
      <c r="BN10" s="33">
        <f t="shared" si="29"/>
        <v>0</v>
      </c>
      <c r="BO10" s="458" t="s">
        <v>163</v>
      </c>
      <c r="BP10" s="33">
        <f>IF(BO9="Not Applicable", (BN9-BQ9), 0)</f>
        <v>0</v>
      </c>
      <c r="BQ10" s="33">
        <f t="shared" si="30"/>
        <v>0</v>
      </c>
      <c r="BR10" s="34">
        <f t="shared" si="31"/>
        <v>0</v>
      </c>
      <c r="BT10" s="461" t="s">
        <v>169</v>
      </c>
      <c r="BU10" s="36" t="str">
        <f t="shared" si="32"/>
        <v/>
      </c>
      <c r="BV10" s="458"/>
      <c r="BW10" s="275">
        <f t="shared" si="33"/>
        <v>0</v>
      </c>
      <c r="BX10" s="458"/>
      <c r="BY10" s="65">
        <f t="shared" si="34"/>
        <v>0</v>
      </c>
      <c r="BZ10" s="32">
        <f t="shared" si="35"/>
        <v>0.104</v>
      </c>
      <c r="CA10" s="459"/>
      <c r="CB10" s="33">
        <f t="shared" si="36"/>
        <v>0</v>
      </c>
      <c r="CC10" s="458" t="s">
        <v>163</v>
      </c>
      <c r="CD10" s="33">
        <f>IF(CC9="Not Applicable", (CB9-CE9), 0)</f>
        <v>0</v>
      </c>
      <c r="CE10" s="33">
        <f t="shared" si="37"/>
        <v>0</v>
      </c>
      <c r="CF10" s="34">
        <f t="shared" si="38"/>
        <v>0</v>
      </c>
    </row>
    <row r="11" spans="2:84" ht="18" customHeight="1" x14ac:dyDescent="0.35">
      <c r="B11" s="462" t="s">
        <v>676</v>
      </c>
      <c r="C11" s="457"/>
      <c r="D11" s="458"/>
      <c r="E11" s="458"/>
      <c r="F11" s="458"/>
      <c r="G11" s="459"/>
      <c r="H11" s="32">
        <f t="shared" si="0"/>
        <v>0.104</v>
      </c>
      <c r="I11" s="459"/>
      <c r="J11" s="33">
        <f t="shared" si="1"/>
        <v>0</v>
      </c>
      <c r="K11" s="458" t="s">
        <v>163</v>
      </c>
      <c r="L11" s="33">
        <f t="shared" si="39"/>
        <v>0</v>
      </c>
      <c r="M11" s="33">
        <f t="shared" si="2"/>
        <v>0</v>
      </c>
      <c r="N11" s="34">
        <f t="shared" si="3"/>
        <v>0</v>
      </c>
      <c r="P11" s="462" t="s">
        <v>676</v>
      </c>
      <c r="Q11" s="36" t="str">
        <f t="shared" si="4"/>
        <v/>
      </c>
      <c r="R11" s="458"/>
      <c r="S11" s="275">
        <f t="shared" si="5"/>
        <v>0</v>
      </c>
      <c r="T11" s="458"/>
      <c r="U11" s="65">
        <f t="shared" si="6"/>
        <v>0</v>
      </c>
      <c r="V11" s="32">
        <f t="shared" si="7"/>
        <v>0.104</v>
      </c>
      <c r="W11" s="458"/>
      <c r="X11" s="33">
        <f t="shared" si="8"/>
        <v>0</v>
      </c>
      <c r="Y11" s="458" t="s">
        <v>163</v>
      </c>
      <c r="Z11" s="33">
        <f t="shared" ref="Z11:Z68" si="40">IF(Y10="Not Applicable", (X10-AA10), 0)</f>
        <v>0</v>
      </c>
      <c r="AA11" s="33">
        <f t="shared" si="9"/>
        <v>0</v>
      </c>
      <c r="AB11" s="34">
        <f t="shared" si="10"/>
        <v>0</v>
      </c>
      <c r="AD11" s="462" t="s">
        <v>676</v>
      </c>
      <c r="AE11" s="36" t="str">
        <f t="shared" si="11"/>
        <v/>
      </c>
      <c r="AF11" s="458"/>
      <c r="AG11" s="275">
        <f t="shared" si="12"/>
        <v>0</v>
      </c>
      <c r="AH11" s="458"/>
      <c r="AI11" s="65">
        <f t="shared" si="13"/>
        <v>0</v>
      </c>
      <c r="AJ11" s="32">
        <f t="shared" si="14"/>
        <v>0.104</v>
      </c>
      <c r="AK11" s="459"/>
      <c r="AL11" s="33">
        <f t="shared" si="15"/>
        <v>0</v>
      </c>
      <c r="AM11" s="458" t="s">
        <v>163</v>
      </c>
      <c r="AN11" s="33">
        <f t="shared" ref="AN11:AN20" si="41">IF(AM10="Not Applicable", (AL10-AO10), 0)</f>
        <v>0</v>
      </c>
      <c r="AO11" s="33">
        <f t="shared" si="16"/>
        <v>0</v>
      </c>
      <c r="AP11" s="34">
        <f t="shared" si="17"/>
        <v>0</v>
      </c>
      <c r="AR11" s="462" t="s">
        <v>676</v>
      </c>
      <c r="AS11" s="36" t="str">
        <f t="shared" si="18"/>
        <v/>
      </c>
      <c r="AT11" s="458"/>
      <c r="AU11" s="275">
        <f t="shared" si="19"/>
        <v>0</v>
      </c>
      <c r="AV11" s="458"/>
      <c r="AW11" s="65">
        <f t="shared" si="20"/>
        <v>0</v>
      </c>
      <c r="AX11" s="32">
        <f t="shared" si="21"/>
        <v>0.104</v>
      </c>
      <c r="AY11" s="459"/>
      <c r="AZ11" s="33">
        <f t="shared" si="22"/>
        <v>0</v>
      </c>
      <c r="BA11" s="458" t="s">
        <v>163</v>
      </c>
      <c r="BB11" s="33">
        <f t="shared" ref="BB11:BB20" si="42">IF(BA10="Not Applicable", (AZ10-BC10), 0)</f>
        <v>0</v>
      </c>
      <c r="BC11" s="33">
        <f t="shared" si="23"/>
        <v>0</v>
      </c>
      <c r="BD11" s="34">
        <f t="shared" si="24"/>
        <v>0</v>
      </c>
      <c r="BF11" s="462" t="s">
        <v>676</v>
      </c>
      <c r="BG11" s="36" t="str">
        <f t="shared" si="25"/>
        <v/>
      </c>
      <c r="BH11" s="458"/>
      <c r="BI11" s="275">
        <f t="shared" si="26"/>
        <v>0</v>
      </c>
      <c r="BJ11" s="458"/>
      <c r="BK11" s="65">
        <f t="shared" si="27"/>
        <v>0</v>
      </c>
      <c r="BL11" s="32">
        <f t="shared" si="28"/>
        <v>0.104</v>
      </c>
      <c r="BM11" s="459"/>
      <c r="BN11" s="33">
        <f t="shared" si="29"/>
        <v>0</v>
      </c>
      <c r="BO11" s="458" t="s">
        <v>163</v>
      </c>
      <c r="BP11" s="33">
        <f t="shared" ref="BP11:BP20" si="43">IF(BO10="Not Applicable", (BN10-BQ10), 0)</f>
        <v>0</v>
      </c>
      <c r="BQ11" s="33">
        <f t="shared" si="30"/>
        <v>0</v>
      </c>
      <c r="BR11" s="34">
        <f t="shared" si="31"/>
        <v>0</v>
      </c>
      <c r="BT11" s="462" t="s">
        <v>676</v>
      </c>
      <c r="BU11" s="36" t="str">
        <f t="shared" si="32"/>
        <v/>
      </c>
      <c r="BV11" s="458"/>
      <c r="BW11" s="275">
        <f t="shared" si="33"/>
        <v>0</v>
      </c>
      <c r="BX11" s="458"/>
      <c r="BY11" s="65">
        <f t="shared" si="34"/>
        <v>0</v>
      </c>
      <c r="BZ11" s="32">
        <f t="shared" si="35"/>
        <v>0.104</v>
      </c>
      <c r="CA11" s="459"/>
      <c r="CB11" s="33">
        <f t="shared" si="36"/>
        <v>0</v>
      </c>
      <c r="CC11" s="458" t="s">
        <v>163</v>
      </c>
      <c r="CD11" s="33">
        <f t="shared" ref="CD11:CD20" si="44">IF(CC10="Not Applicable", (CB10-CE10), 0)</f>
        <v>0</v>
      </c>
      <c r="CE11" s="33">
        <f t="shared" si="37"/>
        <v>0</v>
      </c>
      <c r="CF11" s="34">
        <f t="shared" si="38"/>
        <v>0</v>
      </c>
    </row>
    <row r="12" spans="2:84" ht="18" customHeight="1" thickBot="1" x14ac:dyDescent="0.4">
      <c r="B12" s="37">
        <f>IFERROR(VLOOKUP(B7, Background!$C$64:$D$73, 2, FALSE), 0)</f>
        <v>0</v>
      </c>
      <c r="C12" s="457"/>
      <c r="D12" s="458"/>
      <c r="E12" s="458"/>
      <c r="F12" s="458"/>
      <c r="G12" s="459"/>
      <c r="H12" s="32">
        <f t="shared" si="0"/>
        <v>0.104</v>
      </c>
      <c r="I12" s="459"/>
      <c r="J12" s="33">
        <f t="shared" si="1"/>
        <v>0</v>
      </c>
      <c r="K12" s="458" t="s">
        <v>163</v>
      </c>
      <c r="L12" s="33">
        <f t="shared" si="39"/>
        <v>0</v>
      </c>
      <c r="M12" s="33">
        <f t="shared" si="2"/>
        <v>0</v>
      </c>
      <c r="N12" s="34">
        <f t="shared" si="3"/>
        <v>0</v>
      </c>
      <c r="P12" s="37">
        <f>IFERROR(VLOOKUP(P7, Background!$C$64:$D$73, 2, FALSE), 0)</f>
        <v>0</v>
      </c>
      <c r="Q12" s="36" t="str">
        <f t="shared" si="4"/>
        <v/>
      </c>
      <c r="R12" s="458"/>
      <c r="S12" s="275">
        <f t="shared" si="5"/>
        <v>0</v>
      </c>
      <c r="T12" s="458"/>
      <c r="U12" s="65">
        <f t="shared" si="6"/>
        <v>0</v>
      </c>
      <c r="V12" s="32">
        <f t="shared" si="7"/>
        <v>0.104</v>
      </c>
      <c r="W12" s="458"/>
      <c r="X12" s="33">
        <f t="shared" si="8"/>
        <v>0</v>
      </c>
      <c r="Y12" s="458" t="s">
        <v>163</v>
      </c>
      <c r="Z12" s="33">
        <f t="shared" si="40"/>
        <v>0</v>
      </c>
      <c r="AA12" s="33">
        <f t="shared" si="9"/>
        <v>0</v>
      </c>
      <c r="AB12" s="34">
        <f t="shared" si="10"/>
        <v>0</v>
      </c>
      <c r="AD12" s="37">
        <f>IFERROR(VLOOKUP(AD7, Background!$C$64:$D$73, 2, FALSE), 0)</f>
        <v>0</v>
      </c>
      <c r="AE12" s="36" t="str">
        <f t="shared" si="11"/>
        <v/>
      </c>
      <c r="AF12" s="458"/>
      <c r="AG12" s="275">
        <f t="shared" si="12"/>
        <v>0</v>
      </c>
      <c r="AH12" s="458"/>
      <c r="AI12" s="65">
        <f t="shared" si="13"/>
        <v>0</v>
      </c>
      <c r="AJ12" s="32">
        <f t="shared" si="14"/>
        <v>0.104</v>
      </c>
      <c r="AK12" s="459"/>
      <c r="AL12" s="33">
        <f t="shared" si="15"/>
        <v>0</v>
      </c>
      <c r="AM12" s="458" t="s">
        <v>163</v>
      </c>
      <c r="AN12" s="33">
        <f t="shared" si="41"/>
        <v>0</v>
      </c>
      <c r="AO12" s="33">
        <f t="shared" si="16"/>
        <v>0</v>
      </c>
      <c r="AP12" s="34">
        <f t="shared" si="17"/>
        <v>0</v>
      </c>
      <c r="AR12" s="37">
        <f>IFERROR(VLOOKUP(AR7, Background!$C$64:$D$73, 2, FALSE), 0)</f>
        <v>0</v>
      </c>
      <c r="AS12" s="36" t="str">
        <f t="shared" si="18"/>
        <v/>
      </c>
      <c r="AT12" s="458"/>
      <c r="AU12" s="275">
        <f t="shared" si="19"/>
        <v>0</v>
      </c>
      <c r="AV12" s="458"/>
      <c r="AW12" s="65">
        <f t="shared" si="20"/>
        <v>0</v>
      </c>
      <c r="AX12" s="32">
        <f t="shared" si="21"/>
        <v>0.104</v>
      </c>
      <c r="AY12" s="459"/>
      <c r="AZ12" s="33">
        <f t="shared" si="22"/>
        <v>0</v>
      </c>
      <c r="BA12" s="458" t="s">
        <v>163</v>
      </c>
      <c r="BB12" s="33">
        <f t="shared" si="42"/>
        <v>0</v>
      </c>
      <c r="BC12" s="33">
        <f t="shared" si="23"/>
        <v>0</v>
      </c>
      <c r="BD12" s="34">
        <f t="shared" si="24"/>
        <v>0</v>
      </c>
      <c r="BF12" s="37">
        <f>IFERROR(VLOOKUP(BF7, Background!$C$64:$D$73, 2, FALSE), 0)</f>
        <v>0</v>
      </c>
      <c r="BG12" s="36" t="str">
        <f t="shared" si="25"/>
        <v/>
      </c>
      <c r="BH12" s="458"/>
      <c r="BI12" s="275">
        <f t="shared" si="26"/>
        <v>0</v>
      </c>
      <c r="BJ12" s="458"/>
      <c r="BK12" s="65">
        <f t="shared" si="27"/>
        <v>0</v>
      </c>
      <c r="BL12" s="32">
        <f t="shared" si="28"/>
        <v>0.104</v>
      </c>
      <c r="BM12" s="459"/>
      <c r="BN12" s="33">
        <f t="shared" si="29"/>
        <v>0</v>
      </c>
      <c r="BO12" s="458" t="s">
        <v>163</v>
      </c>
      <c r="BP12" s="33">
        <f t="shared" si="43"/>
        <v>0</v>
      </c>
      <c r="BQ12" s="33">
        <f t="shared" si="30"/>
        <v>0</v>
      </c>
      <c r="BR12" s="34">
        <f t="shared" si="31"/>
        <v>0</v>
      </c>
      <c r="BT12" s="37">
        <f>IFERROR(VLOOKUP(BT7, Background!$C$64:$D$73, 2, FALSE), 0)</f>
        <v>0</v>
      </c>
      <c r="BU12" s="36" t="str">
        <f t="shared" si="32"/>
        <v/>
      </c>
      <c r="BV12" s="458"/>
      <c r="BW12" s="275">
        <f t="shared" si="33"/>
        <v>0</v>
      </c>
      <c r="BX12" s="458"/>
      <c r="BY12" s="65">
        <f t="shared" si="34"/>
        <v>0</v>
      </c>
      <c r="BZ12" s="32">
        <f t="shared" si="35"/>
        <v>0.104</v>
      </c>
      <c r="CA12" s="459"/>
      <c r="CB12" s="33">
        <f t="shared" si="36"/>
        <v>0</v>
      </c>
      <c r="CC12" s="458" t="s">
        <v>163</v>
      </c>
      <c r="CD12" s="33">
        <f t="shared" si="44"/>
        <v>0</v>
      </c>
      <c r="CE12" s="33">
        <f t="shared" si="37"/>
        <v>0</v>
      </c>
      <c r="CF12" s="34">
        <f t="shared" si="38"/>
        <v>0</v>
      </c>
    </row>
    <row r="13" spans="2:84" ht="18" customHeight="1" thickBot="1" x14ac:dyDescent="0.4">
      <c r="B13" s="38"/>
      <c r="C13" s="457"/>
      <c r="D13" s="458"/>
      <c r="E13" s="458"/>
      <c r="F13" s="458"/>
      <c r="G13" s="459"/>
      <c r="H13" s="32">
        <f t="shared" si="0"/>
        <v>0.104</v>
      </c>
      <c r="I13" s="459"/>
      <c r="J13" s="33">
        <f t="shared" si="1"/>
        <v>0</v>
      </c>
      <c r="K13" s="458" t="s">
        <v>163</v>
      </c>
      <c r="L13" s="33">
        <f t="shared" si="39"/>
        <v>0</v>
      </c>
      <c r="M13" s="33">
        <f t="shared" si="2"/>
        <v>0</v>
      </c>
      <c r="N13" s="34">
        <f t="shared" si="3"/>
        <v>0</v>
      </c>
      <c r="P13" s="38"/>
      <c r="Q13" s="36" t="str">
        <f t="shared" si="4"/>
        <v/>
      </c>
      <c r="R13" s="458"/>
      <c r="S13" s="275">
        <f t="shared" si="5"/>
        <v>0</v>
      </c>
      <c r="T13" s="458"/>
      <c r="U13" s="65">
        <f t="shared" si="6"/>
        <v>0</v>
      </c>
      <c r="V13" s="32">
        <f t="shared" si="7"/>
        <v>0.104</v>
      </c>
      <c r="W13" s="458"/>
      <c r="X13" s="33">
        <f t="shared" si="8"/>
        <v>0</v>
      </c>
      <c r="Y13" s="458" t="s">
        <v>163</v>
      </c>
      <c r="Z13" s="33">
        <f t="shared" si="40"/>
        <v>0</v>
      </c>
      <c r="AA13" s="33">
        <f t="shared" si="9"/>
        <v>0</v>
      </c>
      <c r="AB13" s="34">
        <f t="shared" si="10"/>
        <v>0</v>
      </c>
      <c r="AD13" s="38"/>
      <c r="AE13" s="36" t="str">
        <f t="shared" si="11"/>
        <v/>
      </c>
      <c r="AF13" s="458"/>
      <c r="AG13" s="275">
        <f t="shared" si="12"/>
        <v>0</v>
      </c>
      <c r="AH13" s="458"/>
      <c r="AI13" s="65">
        <f t="shared" si="13"/>
        <v>0</v>
      </c>
      <c r="AJ13" s="32">
        <f t="shared" si="14"/>
        <v>0.104</v>
      </c>
      <c r="AK13" s="459"/>
      <c r="AL13" s="33">
        <f t="shared" si="15"/>
        <v>0</v>
      </c>
      <c r="AM13" s="458" t="s">
        <v>163</v>
      </c>
      <c r="AN13" s="33">
        <f t="shared" si="41"/>
        <v>0</v>
      </c>
      <c r="AO13" s="33">
        <f t="shared" si="16"/>
        <v>0</v>
      </c>
      <c r="AP13" s="34">
        <f t="shared" si="17"/>
        <v>0</v>
      </c>
      <c r="AR13" s="38"/>
      <c r="AS13" s="36" t="str">
        <f t="shared" si="18"/>
        <v/>
      </c>
      <c r="AT13" s="458"/>
      <c r="AU13" s="275">
        <f t="shared" si="19"/>
        <v>0</v>
      </c>
      <c r="AV13" s="458"/>
      <c r="AW13" s="65">
        <f t="shared" si="20"/>
        <v>0</v>
      </c>
      <c r="AX13" s="32">
        <f t="shared" si="21"/>
        <v>0.104</v>
      </c>
      <c r="AY13" s="459"/>
      <c r="AZ13" s="33">
        <f t="shared" si="22"/>
        <v>0</v>
      </c>
      <c r="BA13" s="458" t="s">
        <v>163</v>
      </c>
      <c r="BB13" s="33">
        <f t="shared" si="42"/>
        <v>0</v>
      </c>
      <c r="BC13" s="33">
        <f t="shared" si="23"/>
        <v>0</v>
      </c>
      <c r="BD13" s="34">
        <f t="shared" si="24"/>
        <v>0</v>
      </c>
      <c r="BF13" s="38"/>
      <c r="BG13" s="36" t="str">
        <f t="shared" si="25"/>
        <v/>
      </c>
      <c r="BH13" s="458"/>
      <c r="BI13" s="275">
        <f t="shared" si="26"/>
        <v>0</v>
      </c>
      <c r="BJ13" s="458"/>
      <c r="BK13" s="65">
        <f t="shared" si="27"/>
        <v>0</v>
      </c>
      <c r="BL13" s="32">
        <f t="shared" si="28"/>
        <v>0.104</v>
      </c>
      <c r="BM13" s="459"/>
      <c r="BN13" s="33">
        <f t="shared" si="29"/>
        <v>0</v>
      </c>
      <c r="BO13" s="458" t="s">
        <v>163</v>
      </c>
      <c r="BP13" s="33">
        <f t="shared" si="43"/>
        <v>0</v>
      </c>
      <c r="BQ13" s="33">
        <f t="shared" si="30"/>
        <v>0</v>
      </c>
      <c r="BR13" s="34">
        <f t="shared" si="31"/>
        <v>0</v>
      </c>
      <c r="BT13" s="38"/>
      <c r="BU13" s="36" t="str">
        <f t="shared" si="32"/>
        <v/>
      </c>
      <c r="BV13" s="458"/>
      <c r="BW13" s="275">
        <f t="shared" si="33"/>
        <v>0</v>
      </c>
      <c r="BX13" s="458"/>
      <c r="BY13" s="65">
        <f t="shared" si="34"/>
        <v>0</v>
      </c>
      <c r="BZ13" s="32">
        <f t="shared" si="35"/>
        <v>0.104</v>
      </c>
      <c r="CA13" s="459"/>
      <c r="CB13" s="33">
        <f t="shared" si="36"/>
        <v>0</v>
      </c>
      <c r="CC13" s="458" t="s">
        <v>163</v>
      </c>
      <c r="CD13" s="33">
        <f t="shared" si="44"/>
        <v>0</v>
      </c>
      <c r="CE13" s="33">
        <f t="shared" si="37"/>
        <v>0</v>
      </c>
      <c r="CF13" s="34">
        <f t="shared" si="38"/>
        <v>0</v>
      </c>
    </row>
    <row r="14" spans="2:84" ht="18" customHeight="1" x14ac:dyDescent="0.35">
      <c r="B14" s="463" t="s">
        <v>677</v>
      </c>
      <c r="C14" s="457"/>
      <c r="D14" s="458"/>
      <c r="E14" s="458"/>
      <c r="F14" s="458"/>
      <c r="G14" s="459"/>
      <c r="H14" s="32">
        <f t="shared" si="0"/>
        <v>0.104</v>
      </c>
      <c r="I14" s="459"/>
      <c r="J14" s="33">
        <f t="shared" si="1"/>
        <v>0</v>
      </c>
      <c r="K14" s="458" t="s">
        <v>163</v>
      </c>
      <c r="L14" s="33">
        <f t="shared" si="39"/>
        <v>0</v>
      </c>
      <c r="M14" s="33">
        <f t="shared" si="2"/>
        <v>0</v>
      </c>
      <c r="N14" s="34">
        <f t="shared" si="3"/>
        <v>0</v>
      </c>
      <c r="P14" s="463" t="s">
        <v>678</v>
      </c>
      <c r="Q14" s="36" t="str">
        <f t="shared" si="4"/>
        <v/>
      </c>
      <c r="R14" s="458"/>
      <c r="S14" s="275">
        <f t="shared" si="5"/>
        <v>0</v>
      </c>
      <c r="T14" s="458"/>
      <c r="U14" s="65">
        <f t="shared" si="6"/>
        <v>0</v>
      </c>
      <c r="V14" s="32">
        <f t="shared" si="7"/>
        <v>0.104</v>
      </c>
      <c r="W14" s="458"/>
      <c r="X14" s="33">
        <f t="shared" si="8"/>
        <v>0</v>
      </c>
      <c r="Y14" s="458" t="s">
        <v>163</v>
      </c>
      <c r="Z14" s="33">
        <f t="shared" si="40"/>
        <v>0</v>
      </c>
      <c r="AA14" s="33">
        <f t="shared" si="9"/>
        <v>0</v>
      </c>
      <c r="AB14" s="34">
        <f t="shared" si="10"/>
        <v>0</v>
      </c>
      <c r="AD14" s="463" t="s">
        <v>679</v>
      </c>
      <c r="AE14" s="36" t="str">
        <f t="shared" si="11"/>
        <v/>
      </c>
      <c r="AF14" s="458"/>
      <c r="AG14" s="275">
        <f t="shared" si="12"/>
        <v>0</v>
      </c>
      <c r="AH14" s="458"/>
      <c r="AI14" s="65">
        <f t="shared" si="13"/>
        <v>0</v>
      </c>
      <c r="AJ14" s="32">
        <f t="shared" si="14"/>
        <v>0.104</v>
      </c>
      <c r="AK14" s="459"/>
      <c r="AL14" s="33">
        <f t="shared" si="15"/>
        <v>0</v>
      </c>
      <c r="AM14" s="458" t="s">
        <v>163</v>
      </c>
      <c r="AN14" s="33">
        <f t="shared" si="41"/>
        <v>0</v>
      </c>
      <c r="AO14" s="33">
        <f t="shared" si="16"/>
        <v>0</v>
      </c>
      <c r="AP14" s="34">
        <f t="shared" si="17"/>
        <v>0</v>
      </c>
      <c r="AR14" s="463" t="s">
        <v>680</v>
      </c>
      <c r="AS14" s="36" t="str">
        <f t="shared" si="18"/>
        <v/>
      </c>
      <c r="AT14" s="458"/>
      <c r="AU14" s="275">
        <f t="shared" si="19"/>
        <v>0</v>
      </c>
      <c r="AV14" s="458"/>
      <c r="AW14" s="65">
        <f t="shared" si="20"/>
        <v>0</v>
      </c>
      <c r="AX14" s="32">
        <f t="shared" si="21"/>
        <v>0.104</v>
      </c>
      <c r="AY14" s="459"/>
      <c r="AZ14" s="33">
        <f t="shared" si="22"/>
        <v>0</v>
      </c>
      <c r="BA14" s="458" t="s">
        <v>163</v>
      </c>
      <c r="BB14" s="33">
        <f t="shared" si="42"/>
        <v>0</v>
      </c>
      <c r="BC14" s="33">
        <f t="shared" si="23"/>
        <v>0</v>
      </c>
      <c r="BD14" s="34">
        <f t="shared" si="24"/>
        <v>0</v>
      </c>
      <c r="BF14" s="463" t="s">
        <v>681</v>
      </c>
      <c r="BG14" s="36" t="str">
        <f t="shared" si="25"/>
        <v/>
      </c>
      <c r="BH14" s="458"/>
      <c r="BI14" s="275">
        <f t="shared" si="26"/>
        <v>0</v>
      </c>
      <c r="BJ14" s="458"/>
      <c r="BK14" s="65">
        <f t="shared" si="27"/>
        <v>0</v>
      </c>
      <c r="BL14" s="32">
        <f t="shared" si="28"/>
        <v>0.104</v>
      </c>
      <c r="BM14" s="459"/>
      <c r="BN14" s="33">
        <f t="shared" si="29"/>
        <v>0</v>
      </c>
      <c r="BO14" s="458" t="s">
        <v>163</v>
      </c>
      <c r="BP14" s="33">
        <f t="shared" si="43"/>
        <v>0</v>
      </c>
      <c r="BQ14" s="33">
        <f t="shared" si="30"/>
        <v>0</v>
      </c>
      <c r="BR14" s="34">
        <f t="shared" si="31"/>
        <v>0</v>
      </c>
      <c r="BT14" s="463" t="s">
        <v>682</v>
      </c>
      <c r="BU14" s="36" t="str">
        <f t="shared" si="32"/>
        <v/>
      </c>
      <c r="BV14" s="458"/>
      <c r="BW14" s="275">
        <f t="shared" si="33"/>
        <v>0</v>
      </c>
      <c r="BX14" s="458"/>
      <c r="BY14" s="65">
        <f t="shared" si="34"/>
        <v>0</v>
      </c>
      <c r="BZ14" s="32">
        <f t="shared" si="35"/>
        <v>0.104</v>
      </c>
      <c r="CA14" s="459"/>
      <c r="CB14" s="33">
        <f t="shared" si="36"/>
        <v>0</v>
      </c>
      <c r="CC14" s="458" t="s">
        <v>163</v>
      </c>
      <c r="CD14" s="33">
        <f t="shared" si="44"/>
        <v>0</v>
      </c>
      <c r="CE14" s="33">
        <f t="shared" si="37"/>
        <v>0</v>
      </c>
      <c r="CF14" s="34">
        <f t="shared" si="38"/>
        <v>0</v>
      </c>
    </row>
    <row r="15" spans="2:84" ht="18" customHeight="1" x14ac:dyDescent="0.35">
      <c r="B15" s="447" t="s">
        <v>550</v>
      </c>
      <c r="C15" s="457"/>
      <c r="D15" s="458"/>
      <c r="E15" s="458"/>
      <c r="F15" s="458"/>
      <c r="G15" s="459"/>
      <c r="H15" s="32">
        <f t="shared" si="0"/>
        <v>0.104</v>
      </c>
      <c r="I15" s="459"/>
      <c r="J15" s="33">
        <f t="shared" si="1"/>
        <v>0</v>
      </c>
      <c r="K15" s="458" t="s">
        <v>163</v>
      </c>
      <c r="L15" s="33">
        <f t="shared" si="39"/>
        <v>0</v>
      </c>
      <c r="M15" s="33">
        <f t="shared" si="2"/>
        <v>0</v>
      </c>
      <c r="N15" s="34">
        <f t="shared" si="3"/>
        <v>0</v>
      </c>
      <c r="P15" s="447" t="s">
        <v>550</v>
      </c>
      <c r="Q15" s="36" t="str">
        <f t="shared" si="4"/>
        <v/>
      </c>
      <c r="R15" s="458"/>
      <c r="S15" s="275">
        <f t="shared" si="5"/>
        <v>0</v>
      </c>
      <c r="T15" s="458"/>
      <c r="U15" s="65">
        <f t="shared" si="6"/>
        <v>0</v>
      </c>
      <c r="V15" s="32">
        <f t="shared" si="7"/>
        <v>0.104</v>
      </c>
      <c r="W15" s="458"/>
      <c r="X15" s="33">
        <f t="shared" si="8"/>
        <v>0</v>
      </c>
      <c r="Y15" s="458" t="s">
        <v>163</v>
      </c>
      <c r="Z15" s="33">
        <f t="shared" si="40"/>
        <v>0</v>
      </c>
      <c r="AA15" s="33">
        <f t="shared" si="9"/>
        <v>0</v>
      </c>
      <c r="AB15" s="34">
        <f t="shared" si="10"/>
        <v>0</v>
      </c>
      <c r="AD15" s="447" t="s">
        <v>550</v>
      </c>
      <c r="AE15" s="36" t="str">
        <f t="shared" si="11"/>
        <v/>
      </c>
      <c r="AF15" s="458"/>
      <c r="AG15" s="275">
        <f t="shared" si="12"/>
        <v>0</v>
      </c>
      <c r="AH15" s="458"/>
      <c r="AI15" s="65">
        <f t="shared" si="13"/>
        <v>0</v>
      </c>
      <c r="AJ15" s="32">
        <f t="shared" si="14"/>
        <v>0.104</v>
      </c>
      <c r="AK15" s="459"/>
      <c r="AL15" s="33">
        <f t="shared" si="15"/>
        <v>0</v>
      </c>
      <c r="AM15" s="458" t="s">
        <v>163</v>
      </c>
      <c r="AN15" s="33">
        <f t="shared" si="41"/>
        <v>0</v>
      </c>
      <c r="AO15" s="33">
        <f t="shared" si="16"/>
        <v>0</v>
      </c>
      <c r="AP15" s="34">
        <f t="shared" si="17"/>
        <v>0</v>
      </c>
      <c r="AR15" s="447" t="s">
        <v>550</v>
      </c>
      <c r="AS15" s="36" t="str">
        <f t="shared" si="18"/>
        <v/>
      </c>
      <c r="AT15" s="458"/>
      <c r="AU15" s="275">
        <f t="shared" si="19"/>
        <v>0</v>
      </c>
      <c r="AV15" s="458"/>
      <c r="AW15" s="65">
        <f t="shared" si="20"/>
        <v>0</v>
      </c>
      <c r="AX15" s="32">
        <f t="shared" si="21"/>
        <v>0.104</v>
      </c>
      <c r="AY15" s="459"/>
      <c r="AZ15" s="33">
        <f t="shared" si="22"/>
        <v>0</v>
      </c>
      <c r="BA15" s="458" t="s">
        <v>163</v>
      </c>
      <c r="BB15" s="33">
        <f t="shared" si="42"/>
        <v>0</v>
      </c>
      <c r="BC15" s="33">
        <f t="shared" si="23"/>
        <v>0</v>
      </c>
      <c r="BD15" s="34">
        <f t="shared" si="24"/>
        <v>0</v>
      </c>
      <c r="BF15" s="447" t="s">
        <v>550</v>
      </c>
      <c r="BG15" s="36" t="str">
        <f t="shared" si="25"/>
        <v/>
      </c>
      <c r="BH15" s="458"/>
      <c r="BI15" s="275">
        <f t="shared" si="26"/>
        <v>0</v>
      </c>
      <c r="BJ15" s="458"/>
      <c r="BK15" s="65">
        <f t="shared" si="27"/>
        <v>0</v>
      </c>
      <c r="BL15" s="32">
        <f t="shared" si="28"/>
        <v>0.104</v>
      </c>
      <c r="BM15" s="459"/>
      <c r="BN15" s="33">
        <f t="shared" si="29"/>
        <v>0</v>
      </c>
      <c r="BO15" s="458" t="s">
        <v>163</v>
      </c>
      <c r="BP15" s="33">
        <f t="shared" si="43"/>
        <v>0</v>
      </c>
      <c r="BQ15" s="33">
        <f t="shared" si="30"/>
        <v>0</v>
      </c>
      <c r="BR15" s="34">
        <f t="shared" si="31"/>
        <v>0</v>
      </c>
      <c r="BT15" s="447" t="s">
        <v>550</v>
      </c>
      <c r="BU15" s="36" t="str">
        <f t="shared" si="32"/>
        <v/>
      </c>
      <c r="BV15" s="458"/>
      <c r="BW15" s="275">
        <f t="shared" si="33"/>
        <v>0</v>
      </c>
      <c r="BX15" s="458"/>
      <c r="BY15" s="65">
        <f t="shared" si="34"/>
        <v>0</v>
      </c>
      <c r="BZ15" s="32">
        <f t="shared" si="35"/>
        <v>0.104</v>
      </c>
      <c r="CA15" s="459"/>
      <c r="CB15" s="33">
        <f t="shared" si="36"/>
        <v>0</v>
      </c>
      <c r="CC15" s="458" t="s">
        <v>163</v>
      </c>
      <c r="CD15" s="33">
        <f t="shared" si="44"/>
        <v>0</v>
      </c>
      <c r="CE15" s="33">
        <f t="shared" si="37"/>
        <v>0</v>
      </c>
      <c r="CF15" s="34">
        <f t="shared" si="38"/>
        <v>0</v>
      </c>
    </row>
    <row r="16" spans="2:84" ht="18" customHeight="1" thickBot="1" x14ac:dyDescent="0.4">
      <c r="B16" s="37">
        <f>IFERROR(VLOOKUP(B7, Background!$C$64:$F$73,4, FALSE), 0)</f>
        <v>0</v>
      </c>
      <c r="C16" s="457"/>
      <c r="D16" s="458"/>
      <c r="E16" s="458"/>
      <c r="F16" s="458"/>
      <c r="G16" s="459"/>
      <c r="H16" s="32">
        <f t="shared" si="0"/>
        <v>0.104</v>
      </c>
      <c r="I16" s="459"/>
      <c r="J16" s="33">
        <f t="shared" si="1"/>
        <v>0</v>
      </c>
      <c r="K16" s="458" t="s">
        <v>163</v>
      </c>
      <c r="L16" s="33">
        <f t="shared" si="39"/>
        <v>0</v>
      </c>
      <c r="M16" s="33">
        <f t="shared" si="2"/>
        <v>0</v>
      </c>
      <c r="N16" s="34">
        <f t="shared" si="3"/>
        <v>0</v>
      </c>
      <c r="P16" s="37">
        <f>IFERROR(VLOOKUP(P7, Background!$C$64:$F$73,4, FALSE), 0)</f>
        <v>0</v>
      </c>
      <c r="Q16" s="36" t="str">
        <f t="shared" si="4"/>
        <v/>
      </c>
      <c r="R16" s="458"/>
      <c r="S16" s="275">
        <f t="shared" si="5"/>
        <v>0</v>
      </c>
      <c r="T16" s="458"/>
      <c r="U16" s="65">
        <f t="shared" si="6"/>
        <v>0</v>
      </c>
      <c r="V16" s="32">
        <f t="shared" si="7"/>
        <v>0.104</v>
      </c>
      <c r="W16" s="458"/>
      <c r="X16" s="33">
        <f t="shared" si="8"/>
        <v>0</v>
      </c>
      <c r="Y16" s="458" t="s">
        <v>163</v>
      </c>
      <c r="Z16" s="33">
        <f t="shared" si="40"/>
        <v>0</v>
      </c>
      <c r="AA16" s="33">
        <f t="shared" si="9"/>
        <v>0</v>
      </c>
      <c r="AB16" s="34">
        <f t="shared" si="10"/>
        <v>0</v>
      </c>
      <c r="AD16" s="37">
        <f>IFERROR(VLOOKUP(AD7, Background!$C$64:$F$73,4, FALSE), 0)</f>
        <v>0</v>
      </c>
      <c r="AE16" s="36" t="str">
        <f t="shared" si="11"/>
        <v/>
      </c>
      <c r="AF16" s="458"/>
      <c r="AG16" s="275">
        <f t="shared" si="12"/>
        <v>0</v>
      </c>
      <c r="AH16" s="458"/>
      <c r="AI16" s="65">
        <f t="shared" si="13"/>
        <v>0</v>
      </c>
      <c r="AJ16" s="32">
        <f t="shared" si="14"/>
        <v>0.104</v>
      </c>
      <c r="AK16" s="459"/>
      <c r="AL16" s="33">
        <f t="shared" si="15"/>
        <v>0</v>
      </c>
      <c r="AM16" s="458" t="s">
        <v>163</v>
      </c>
      <c r="AN16" s="33">
        <f t="shared" si="41"/>
        <v>0</v>
      </c>
      <c r="AO16" s="33">
        <f t="shared" si="16"/>
        <v>0</v>
      </c>
      <c r="AP16" s="34">
        <f t="shared" si="17"/>
        <v>0</v>
      </c>
      <c r="AR16" s="37">
        <f>IFERROR(VLOOKUP(AR7, Background!$C$64:$F$73,4, FALSE), 0)</f>
        <v>0</v>
      </c>
      <c r="AS16" s="36" t="str">
        <f t="shared" si="18"/>
        <v/>
      </c>
      <c r="AT16" s="458"/>
      <c r="AU16" s="275">
        <f t="shared" si="19"/>
        <v>0</v>
      </c>
      <c r="AV16" s="458"/>
      <c r="AW16" s="65">
        <f t="shared" si="20"/>
        <v>0</v>
      </c>
      <c r="AX16" s="32">
        <f t="shared" si="21"/>
        <v>0.104</v>
      </c>
      <c r="AY16" s="459"/>
      <c r="AZ16" s="33">
        <f t="shared" si="22"/>
        <v>0</v>
      </c>
      <c r="BA16" s="458" t="s">
        <v>163</v>
      </c>
      <c r="BB16" s="33">
        <f t="shared" si="42"/>
        <v>0</v>
      </c>
      <c r="BC16" s="33">
        <f t="shared" si="23"/>
        <v>0</v>
      </c>
      <c r="BD16" s="34">
        <f t="shared" si="24"/>
        <v>0</v>
      </c>
      <c r="BF16" s="37">
        <f>IFERROR(VLOOKUP(BF7, Background!$C$64:$F$73,4, FALSE), 0)</f>
        <v>0</v>
      </c>
      <c r="BG16" s="36" t="str">
        <f t="shared" si="25"/>
        <v/>
      </c>
      <c r="BH16" s="458"/>
      <c r="BI16" s="275">
        <f t="shared" si="26"/>
        <v>0</v>
      </c>
      <c r="BJ16" s="458"/>
      <c r="BK16" s="65">
        <f t="shared" si="27"/>
        <v>0</v>
      </c>
      <c r="BL16" s="32">
        <f t="shared" si="28"/>
        <v>0.104</v>
      </c>
      <c r="BM16" s="459"/>
      <c r="BN16" s="33">
        <f t="shared" si="29"/>
        <v>0</v>
      </c>
      <c r="BO16" s="458" t="s">
        <v>163</v>
      </c>
      <c r="BP16" s="33">
        <f t="shared" si="43"/>
        <v>0</v>
      </c>
      <c r="BQ16" s="33">
        <f t="shared" si="30"/>
        <v>0</v>
      </c>
      <c r="BR16" s="34">
        <f t="shared" si="31"/>
        <v>0</v>
      </c>
      <c r="BT16" s="37">
        <f>IFERROR(VLOOKUP(BT7, Background!$C$64:$F$73,4, FALSE), 0)</f>
        <v>0</v>
      </c>
      <c r="BU16" s="36" t="str">
        <f t="shared" si="32"/>
        <v/>
      </c>
      <c r="BV16" s="458"/>
      <c r="BW16" s="275">
        <f t="shared" si="33"/>
        <v>0</v>
      </c>
      <c r="BX16" s="458"/>
      <c r="BY16" s="65">
        <f t="shared" si="34"/>
        <v>0</v>
      </c>
      <c r="BZ16" s="32">
        <f t="shared" si="35"/>
        <v>0.104</v>
      </c>
      <c r="CA16" s="459"/>
      <c r="CB16" s="33">
        <f t="shared" si="36"/>
        <v>0</v>
      </c>
      <c r="CC16" s="458" t="s">
        <v>163</v>
      </c>
      <c r="CD16" s="33">
        <f t="shared" si="44"/>
        <v>0</v>
      </c>
      <c r="CE16" s="33">
        <f t="shared" si="37"/>
        <v>0</v>
      </c>
      <c r="CF16" s="34">
        <f t="shared" si="38"/>
        <v>0</v>
      </c>
    </row>
    <row r="17" spans="2:84" ht="18" customHeight="1" thickBot="1" x14ac:dyDescent="0.4">
      <c r="B17" s="39"/>
      <c r="C17" s="457"/>
      <c r="D17" s="458"/>
      <c r="E17" s="458"/>
      <c r="F17" s="458"/>
      <c r="G17" s="459"/>
      <c r="H17" s="32">
        <f t="shared" si="0"/>
        <v>0.104</v>
      </c>
      <c r="I17" s="459"/>
      <c r="J17" s="33">
        <f t="shared" si="1"/>
        <v>0</v>
      </c>
      <c r="K17" s="458" t="s">
        <v>163</v>
      </c>
      <c r="L17" s="33">
        <f t="shared" si="39"/>
        <v>0</v>
      </c>
      <c r="M17" s="33">
        <f t="shared" si="2"/>
        <v>0</v>
      </c>
      <c r="N17" s="34">
        <f t="shared" si="3"/>
        <v>0</v>
      </c>
      <c r="P17" s="39"/>
      <c r="Q17" s="36" t="str">
        <f t="shared" si="4"/>
        <v/>
      </c>
      <c r="R17" s="458"/>
      <c r="S17" s="275">
        <f t="shared" si="5"/>
        <v>0</v>
      </c>
      <c r="T17" s="458"/>
      <c r="U17" s="65">
        <f t="shared" si="6"/>
        <v>0</v>
      </c>
      <c r="V17" s="32">
        <f t="shared" si="7"/>
        <v>0.104</v>
      </c>
      <c r="W17" s="458"/>
      <c r="X17" s="33">
        <f t="shared" si="8"/>
        <v>0</v>
      </c>
      <c r="Y17" s="458" t="s">
        <v>163</v>
      </c>
      <c r="Z17" s="33">
        <f t="shared" si="40"/>
        <v>0</v>
      </c>
      <c r="AA17" s="33">
        <f t="shared" si="9"/>
        <v>0</v>
      </c>
      <c r="AB17" s="34">
        <f t="shared" si="10"/>
        <v>0</v>
      </c>
      <c r="AD17" s="39"/>
      <c r="AE17" s="36" t="str">
        <f t="shared" si="11"/>
        <v/>
      </c>
      <c r="AF17" s="458"/>
      <c r="AG17" s="275">
        <f t="shared" si="12"/>
        <v>0</v>
      </c>
      <c r="AH17" s="458"/>
      <c r="AI17" s="65">
        <f t="shared" si="13"/>
        <v>0</v>
      </c>
      <c r="AJ17" s="32">
        <f t="shared" si="14"/>
        <v>0.104</v>
      </c>
      <c r="AK17" s="459"/>
      <c r="AL17" s="33">
        <f t="shared" si="15"/>
        <v>0</v>
      </c>
      <c r="AM17" s="458" t="s">
        <v>163</v>
      </c>
      <c r="AN17" s="33">
        <f t="shared" si="41"/>
        <v>0</v>
      </c>
      <c r="AO17" s="33">
        <f t="shared" si="16"/>
        <v>0</v>
      </c>
      <c r="AP17" s="34">
        <f t="shared" si="17"/>
        <v>0</v>
      </c>
      <c r="AR17" s="39"/>
      <c r="AS17" s="36" t="str">
        <f t="shared" si="18"/>
        <v/>
      </c>
      <c r="AT17" s="458"/>
      <c r="AU17" s="275">
        <f t="shared" si="19"/>
        <v>0</v>
      </c>
      <c r="AV17" s="458"/>
      <c r="AW17" s="65">
        <f t="shared" si="20"/>
        <v>0</v>
      </c>
      <c r="AX17" s="32">
        <f t="shared" si="21"/>
        <v>0.104</v>
      </c>
      <c r="AY17" s="459"/>
      <c r="AZ17" s="33">
        <f t="shared" si="22"/>
        <v>0</v>
      </c>
      <c r="BA17" s="458" t="s">
        <v>163</v>
      </c>
      <c r="BB17" s="33">
        <f t="shared" si="42"/>
        <v>0</v>
      </c>
      <c r="BC17" s="33">
        <f t="shared" si="23"/>
        <v>0</v>
      </c>
      <c r="BD17" s="34">
        <f t="shared" si="24"/>
        <v>0</v>
      </c>
      <c r="BF17" s="39"/>
      <c r="BG17" s="36" t="str">
        <f t="shared" si="25"/>
        <v/>
      </c>
      <c r="BH17" s="458"/>
      <c r="BI17" s="275">
        <f t="shared" si="26"/>
        <v>0</v>
      </c>
      <c r="BJ17" s="458"/>
      <c r="BK17" s="65">
        <f t="shared" si="27"/>
        <v>0</v>
      </c>
      <c r="BL17" s="32">
        <f t="shared" si="28"/>
        <v>0.104</v>
      </c>
      <c r="BM17" s="459"/>
      <c r="BN17" s="33">
        <f t="shared" si="29"/>
        <v>0</v>
      </c>
      <c r="BO17" s="458" t="s">
        <v>163</v>
      </c>
      <c r="BP17" s="33">
        <f t="shared" si="43"/>
        <v>0</v>
      </c>
      <c r="BQ17" s="33">
        <f t="shared" si="30"/>
        <v>0</v>
      </c>
      <c r="BR17" s="34">
        <f t="shared" si="31"/>
        <v>0</v>
      </c>
      <c r="BT17" s="39"/>
      <c r="BU17" s="36" t="str">
        <f t="shared" si="32"/>
        <v/>
      </c>
      <c r="BV17" s="458"/>
      <c r="BW17" s="275">
        <f t="shared" si="33"/>
        <v>0</v>
      </c>
      <c r="BX17" s="458"/>
      <c r="BY17" s="65">
        <f t="shared" si="34"/>
        <v>0</v>
      </c>
      <c r="BZ17" s="32">
        <f t="shared" si="35"/>
        <v>0.104</v>
      </c>
      <c r="CA17" s="459"/>
      <c r="CB17" s="33">
        <f t="shared" si="36"/>
        <v>0</v>
      </c>
      <c r="CC17" s="458" t="s">
        <v>163</v>
      </c>
      <c r="CD17" s="33">
        <f t="shared" si="44"/>
        <v>0</v>
      </c>
      <c r="CE17" s="33">
        <f t="shared" si="37"/>
        <v>0</v>
      </c>
      <c r="CF17" s="34">
        <f t="shared" si="38"/>
        <v>0</v>
      </c>
    </row>
    <row r="18" spans="2:84" ht="18" customHeight="1" x14ac:dyDescent="0.35">
      <c r="B18" s="463" t="s">
        <v>170</v>
      </c>
      <c r="C18" s="457"/>
      <c r="D18" s="458"/>
      <c r="E18" s="458"/>
      <c r="F18" s="458"/>
      <c r="G18" s="459"/>
      <c r="H18" s="32">
        <f t="shared" si="0"/>
        <v>0.104</v>
      </c>
      <c r="I18" s="459"/>
      <c r="J18" s="33">
        <f t="shared" si="1"/>
        <v>0</v>
      </c>
      <c r="K18" s="458" t="s">
        <v>163</v>
      </c>
      <c r="L18" s="33">
        <f t="shared" si="39"/>
        <v>0</v>
      </c>
      <c r="M18" s="33">
        <f t="shared" si="2"/>
        <v>0</v>
      </c>
      <c r="N18" s="34">
        <f t="shared" si="3"/>
        <v>0</v>
      </c>
      <c r="P18" s="463" t="s">
        <v>171</v>
      </c>
      <c r="Q18" s="36" t="str">
        <f t="shared" si="4"/>
        <v/>
      </c>
      <c r="R18" s="458"/>
      <c r="S18" s="275">
        <f t="shared" si="5"/>
        <v>0</v>
      </c>
      <c r="T18" s="458"/>
      <c r="U18" s="65">
        <f t="shared" si="6"/>
        <v>0</v>
      </c>
      <c r="V18" s="32">
        <f t="shared" si="7"/>
        <v>0.104</v>
      </c>
      <c r="W18" s="458"/>
      <c r="X18" s="33">
        <f t="shared" si="8"/>
        <v>0</v>
      </c>
      <c r="Y18" s="458" t="s">
        <v>163</v>
      </c>
      <c r="Z18" s="33">
        <f t="shared" si="40"/>
        <v>0</v>
      </c>
      <c r="AA18" s="33">
        <f t="shared" si="9"/>
        <v>0</v>
      </c>
      <c r="AB18" s="34">
        <f t="shared" si="10"/>
        <v>0</v>
      </c>
      <c r="AD18" s="463" t="s">
        <v>172</v>
      </c>
      <c r="AE18" s="36" t="str">
        <f t="shared" si="11"/>
        <v/>
      </c>
      <c r="AF18" s="458"/>
      <c r="AG18" s="275">
        <f t="shared" si="12"/>
        <v>0</v>
      </c>
      <c r="AH18" s="458"/>
      <c r="AI18" s="65">
        <f t="shared" si="13"/>
        <v>0</v>
      </c>
      <c r="AJ18" s="32">
        <f t="shared" si="14"/>
        <v>0.104</v>
      </c>
      <c r="AK18" s="459"/>
      <c r="AL18" s="33">
        <f t="shared" si="15"/>
        <v>0</v>
      </c>
      <c r="AM18" s="458" t="s">
        <v>163</v>
      </c>
      <c r="AN18" s="33">
        <f t="shared" si="41"/>
        <v>0</v>
      </c>
      <c r="AO18" s="33">
        <f t="shared" si="16"/>
        <v>0</v>
      </c>
      <c r="AP18" s="34">
        <f t="shared" si="17"/>
        <v>0</v>
      </c>
      <c r="AR18" s="463" t="s">
        <v>173</v>
      </c>
      <c r="AS18" s="36" t="str">
        <f t="shared" si="18"/>
        <v/>
      </c>
      <c r="AT18" s="458"/>
      <c r="AU18" s="275">
        <f t="shared" si="19"/>
        <v>0</v>
      </c>
      <c r="AV18" s="458"/>
      <c r="AW18" s="65">
        <f t="shared" si="20"/>
        <v>0</v>
      </c>
      <c r="AX18" s="32">
        <f t="shared" si="21"/>
        <v>0.104</v>
      </c>
      <c r="AY18" s="459"/>
      <c r="AZ18" s="33">
        <f t="shared" si="22"/>
        <v>0</v>
      </c>
      <c r="BA18" s="458" t="s">
        <v>163</v>
      </c>
      <c r="BB18" s="33">
        <f t="shared" si="42"/>
        <v>0</v>
      </c>
      <c r="BC18" s="33">
        <f t="shared" si="23"/>
        <v>0</v>
      </c>
      <c r="BD18" s="34">
        <f t="shared" si="24"/>
        <v>0</v>
      </c>
      <c r="BF18" s="463" t="s">
        <v>174</v>
      </c>
      <c r="BG18" s="36" t="str">
        <f t="shared" si="25"/>
        <v/>
      </c>
      <c r="BH18" s="458"/>
      <c r="BI18" s="275">
        <f t="shared" si="26"/>
        <v>0</v>
      </c>
      <c r="BJ18" s="458"/>
      <c r="BK18" s="65">
        <f t="shared" si="27"/>
        <v>0</v>
      </c>
      <c r="BL18" s="32">
        <f t="shared" si="28"/>
        <v>0.104</v>
      </c>
      <c r="BM18" s="459"/>
      <c r="BN18" s="33">
        <f t="shared" si="29"/>
        <v>0</v>
      </c>
      <c r="BO18" s="458" t="s">
        <v>163</v>
      </c>
      <c r="BP18" s="33">
        <f t="shared" si="43"/>
        <v>0</v>
      </c>
      <c r="BQ18" s="33">
        <f t="shared" si="30"/>
        <v>0</v>
      </c>
      <c r="BR18" s="34">
        <f t="shared" si="31"/>
        <v>0</v>
      </c>
      <c r="BT18" s="463" t="s">
        <v>175</v>
      </c>
      <c r="BU18" s="36" t="str">
        <f t="shared" si="32"/>
        <v/>
      </c>
      <c r="BV18" s="458"/>
      <c r="BW18" s="275">
        <f t="shared" si="33"/>
        <v>0</v>
      </c>
      <c r="BX18" s="458"/>
      <c r="BY18" s="65">
        <f t="shared" si="34"/>
        <v>0</v>
      </c>
      <c r="BZ18" s="32">
        <f t="shared" si="35"/>
        <v>0.104</v>
      </c>
      <c r="CA18" s="459"/>
      <c r="CB18" s="33">
        <f t="shared" si="36"/>
        <v>0</v>
      </c>
      <c r="CC18" s="458" t="s">
        <v>163</v>
      </c>
      <c r="CD18" s="33">
        <f t="shared" si="44"/>
        <v>0</v>
      </c>
      <c r="CE18" s="33">
        <f t="shared" si="37"/>
        <v>0</v>
      </c>
      <c r="CF18" s="34">
        <f t="shared" si="38"/>
        <v>0</v>
      </c>
    </row>
    <row r="19" spans="2:84" ht="18" customHeight="1" x14ac:dyDescent="0.35">
      <c r="B19" s="462" t="s">
        <v>548</v>
      </c>
      <c r="C19" s="457"/>
      <c r="D19" s="458"/>
      <c r="E19" s="458"/>
      <c r="F19" s="458"/>
      <c r="G19" s="459"/>
      <c r="H19" s="32">
        <f t="shared" si="0"/>
        <v>0.104</v>
      </c>
      <c r="I19" s="459"/>
      <c r="J19" s="33">
        <f t="shared" si="1"/>
        <v>0</v>
      </c>
      <c r="K19" s="458" t="s">
        <v>163</v>
      </c>
      <c r="L19" s="33">
        <f t="shared" si="39"/>
        <v>0</v>
      </c>
      <c r="M19" s="33">
        <f t="shared" si="2"/>
        <v>0</v>
      </c>
      <c r="N19" s="34">
        <f t="shared" si="3"/>
        <v>0</v>
      </c>
      <c r="P19" s="462" t="s">
        <v>548</v>
      </c>
      <c r="Q19" s="36" t="str">
        <f t="shared" si="4"/>
        <v/>
      </c>
      <c r="R19" s="458"/>
      <c r="S19" s="275">
        <f t="shared" si="5"/>
        <v>0</v>
      </c>
      <c r="T19" s="458"/>
      <c r="U19" s="65">
        <f t="shared" si="6"/>
        <v>0</v>
      </c>
      <c r="V19" s="32">
        <f t="shared" si="7"/>
        <v>0.104</v>
      </c>
      <c r="W19" s="458"/>
      <c r="X19" s="33">
        <f t="shared" si="8"/>
        <v>0</v>
      </c>
      <c r="Y19" s="458" t="s">
        <v>163</v>
      </c>
      <c r="Z19" s="33">
        <f t="shared" si="40"/>
        <v>0</v>
      </c>
      <c r="AA19" s="33">
        <f t="shared" si="9"/>
        <v>0</v>
      </c>
      <c r="AB19" s="34">
        <f t="shared" si="10"/>
        <v>0</v>
      </c>
      <c r="AD19" s="462" t="s">
        <v>548</v>
      </c>
      <c r="AE19" s="36" t="str">
        <f t="shared" si="11"/>
        <v/>
      </c>
      <c r="AF19" s="458"/>
      <c r="AG19" s="275">
        <f t="shared" si="12"/>
        <v>0</v>
      </c>
      <c r="AH19" s="458"/>
      <c r="AI19" s="65">
        <f t="shared" si="13"/>
        <v>0</v>
      </c>
      <c r="AJ19" s="32">
        <f t="shared" si="14"/>
        <v>0.104</v>
      </c>
      <c r="AK19" s="459"/>
      <c r="AL19" s="33">
        <f t="shared" si="15"/>
        <v>0</v>
      </c>
      <c r="AM19" s="458" t="s">
        <v>163</v>
      </c>
      <c r="AN19" s="33">
        <f t="shared" si="41"/>
        <v>0</v>
      </c>
      <c r="AO19" s="33">
        <f t="shared" si="16"/>
        <v>0</v>
      </c>
      <c r="AP19" s="34">
        <f t="shared" si="17"/>
        <v>0</v>
      </c>
      <c r="AR19" s="462" t="s">
        <v>548</v>
      </c>
      <c r="AS19" s="36" t="str">
        <f t="shared" si="18"/>
        <v/>
      </c>
      <c r="AT19" s="458"/>
      <c r="AU19" s="275">
        <f t="shared" si="19"/>
        <v>0</v>
      </c>
      <c r="AV19" s="458"/>
      <c r="AW19" s="65">
        <f t="shared" si="20"/>
        <v>0</v>
      </c>
      <c r="AX19" s="32">
        <f t="shared" si="21"/>
        <v>0.104</v>
      </c>
      <c r="AY19" s="459"/>
      <c r="AZ19" s="33">
        <f t="shared" si="22"/>
        <v>0</v>
      </c>
      <c r="BA19" s="458" t="s">
        <v>163</v>
      </c>
      <c r="BB19" s="33">
        <f t="shared" si="42"/>
        <v>0</v>
      </c>
      <c r="BC19" s="33">
        <f t="shared" si="23"/>
        <v>0</v>
      </c>
      <c r="BD19" s="34">
        <f t="shared" si="24"/>
        <v>0</v>
      </c>
      <c r="BF19" s="462" t="s">
        <v>548</v>
      </c>
      <c r="BG19" s="36" t="str">
        <f t="shared" si="25"/>
        <v/>
      </c>
      <c r="BH19" s="458"/>
      <c r="BI19" s="275">
        <f t="shared" si="26"/>
        <v>0</v>
      </c>
      <c r="BJ19" s="458"/>
      <c r="BK19" s="65">
        <f t="shared" si="27"/>
        <v>0</v>
      </c>
      <c r="BL19" s="32">
        <f t="shared" si="28"/>
        <v>0.104</v>
      </c>
      <c r="BM19" s="459"/>
      <c r="BN19" s="33">
        <f t="shared" si="29"/>
        <v>0</v>
      </c>
      <c r="BO19" s="458" t="s">
        <v>163</v>
      </c>
      <c r="BP19" s="33">
        <f t="shared" si="43"/>
        <v>0</v>
      </c>
      <c r="BQ19" s="33">
        <f t="shared" si="30"/>
        <v>0</v>
      </c>
      <c r="BR19" s="34">
        <f t="shared" si="31"/>
        <v>0</v>
      </c>
      <c r="BT19" s="462" t="s">
        <v>548</v>
      </c>
      <c r="BU19" s="36" t="str">
        <f t="shared" si="32"/>
        <v/>
      </c>
      <c r="BV19" s="458"/>
      <c r="BW19" s="275">
        <f t="shared" si="33"/>
        <v>0</v>
      </c>
      <c r="BX19" s="458"/>
      <c r="BY19" s="65">
        <f t="shared" si="34"/>
        <v>0</v>
      </c>
      <c r="BZ19" s="32">
        <f t="shared" si="35"/>
        <v>0.104</v>
      </c>
      <c r="CA19" s="459"/>
      <c r="CB19" s="33">
        <f t="shared" si="36"/>
        <v>0</v>
      </c>
      <c r="CC19" s="458" t="s">
        <v>163</v>
      </c>
      <c r="CD19" s="33">
        <f t="shared" si="44"/>
        <v>0</v>
      </c>
      <c r="CE19" s="33">
        <f t="shared" si="37"/>
        <v>0</v>
      </c>
      <c r="CF19" s="34">
        <f t="shared" si="38"/>
        <v>0</v>
      </c>
    </row>
    <row r="20" spans="2:84" ht="18" customHeight="1" thickBot="1" x14ac:dyDescent="0.4">
      <c r="B20" s="37">
        <f>IFERROR(VLOOKUP(B7, Background!$C$64:$F$73, 3, FALSE)*B12/1000, 0)</f>
        <v>0</v>
      </c>
      <c r="C20" s="457"/>
      <c r="D20" s="458"/>
      <c r="E20" s="458"/>
      <c r="F20" s="458"/>
      <c r="G20" s="459"/>
      <c r="H20" s="32">
        <f t="shared" si="0"/>
        <v>0.104</v>
      </c>
      <c r="I20" s="459"/>
      <c r="J20" s="33">
        <f t="shared" si="1"/>
        <v>0</v>
      </c>
      <c r="K20" s="458" t="s">
        <v>163</v>
      </c>
      <c r="L20" s="33">
        <f t="shared" si="39"/>
        <v>0</v>
      </c>
      <c r="M20" s="33">
        <f t="shared" si="2"/>
        <v>0</v>
      </c>
      <c r="N20" s="34">
        <f t="shared" si="3"/>
        <v>0</v>
      </c>
      <c r="P20" s="37">
        <f>IFERROR(VLOOKUP(P7, Background!$C$64:$F$73, 3, FALSE)*P12/1000, 0)</f>
        <v>0</v>
      </c>
      <c r="Q20" s="36" t="str">
        <f t="shared" si="4"/>
        <v/>
      </c>
      <c r="R20" s="458"/>
      <c r="S20" s="275">
        <f t="shared" si="5"/>
        <v>0</v>
      </c>
      <c r="T20" s="458"/>
      <c r="U20" s="65">
        <f t="shared" si="6"/>
        <v>0</v>
      </c>
      <c r="V20" s="32">
        <f t="shared" si="7"/>
        <v>0.104</v>
      </c>
      <c r="W20" s="458"/>
      <c r="X20" s="33">
        <f t="shared" si="8"/>
        <v>0</v>
      </c>
      <c r="Y20" s="458" t="s">
        <v>163</v>
      </c>
      <c r="Z20" s="33">
        <f t="shared" si="40"/>
        <v>0</v>
      </c>
      <c r="AA20" s="33">
        <f t="shared" si="9"/>
        <v>0</v>
      </c>
      <c r="AB20" s="34">
        <f t="shared" si="10"/>
        <v>0</v>
      </c>
      <c r="AD20" s="37">
        <f>IFERROR(VLOOKUP(AD7, Background!$C$64:$F$73, 3, FALSE)*AD12/1000, 0)</f>
        <v>0</v>
      </c>
      <c r="AE20" s="36" t="str">
        <f t="shared" si="11"/>
        <v/>
      </c>
      <c r="AF20" s="458"/>
      <c r="AG20" s="275">
        <f t="shared" si="12"/>
        <v>0</v>
      </c>
      <c r="AH20" s="458"/>
      <c r="AI20" s="65">
        <f t="shared" si="13"/>
        <v>0</v>
      </c>
      <c r="AJ20" s="32">
        <f t="shared" si="14"/>
        <v>0.104</v>
      </c>
      <c r="AK20" s="459"/>
      <c r="AL20" s="33">
        <f t="shared" si="15"/>
        <v>0</v>
      </c>
      <c r="AM20" s="458" t="s">
        <v>163</v>
      </c>
      <c r="AN20" s="33">
        <f t="shared" si="41"/>
        <v>0</v>
      </c>
      <c r="AO20" s="33">
        <f t="shared" si="16"/>
        <v>0</v>
      </c>
      <c r="AP20" s="34">
        <f t="shared" si="17"/>
        <v>0</v>
      </c>
      <c r="AR20" s="37">
        <f>IFERROR(VLOOKUP(AR7, Background!$C$64:$F$73, 3, FALSE)*AR12/1000, 0)</f>
        <v>0</v>
      </c>
      <c r="AS20" s="36" t="str">
        <f t="shared" si="18"/>
        <v/>
      </c>
      <c r="AT20" s="458"/>
      <c r="AU20" s="275">
        <f t="shared" si="19"/>
        <v>0</v>
      </c>
      <c r="AV20" s="458"/>
      <c r="AW20" s="65">
        <f t="shared" si="20"/>
        <v>0</v>
      </c>
      <c r="AX20" s="32">
        <f t="shared" si="21"/>
        <v>0.104</v>
      </c>
      <c r="AY20" s="459"/>
      <c r="AZ20" s="33">
        <f t="shared" si="22"/>
        <v>0</v>
      </c>
      <c r="BA20" s="458" t="s">
        <v>163</v>
      </c>
      <c r="BB20" s="33">
        <f t="shared" si="42"/>
        <v>0</v>
      </c>
      <c r="BC20" s="33">
        <f t="shared" si="23"/>
        <v>0</v>
      </c>
      <c r="BD20" s="34">
        <f t="shared" si="24"/>
        <v>0</v>
      </c>
      <c r="BF20" s="37">
        <f>IFERROR(VLOOKUP(BF7, Background!$C$64:$F$73, 3, FALSE)*BF12/1000, 0)</f>
        <v>0</v>
      </c>
      <c r="BG20" s="36" t="str">
        <f t="shared" si="25"/>
        <v/>
      </c>
      <c r="BH20" s="458"/>
      <c r="BI20" s="275">
        <f t="shared" si="26"/>
        <v>0</v>
      </c>
      <c r="BJ20" s="458"/>
      <c r="BK20" s="65">
        <f t="shared" si="27"/>
        <v>0</v>
      </c>
      <c r="BL20" s="32">
        <f t="shared" si="28"/>
        <v>0.104</v>
      </c>
      <c r="BM20" s="459"/>
      <c r="BN20" s="33">
        <f t="shared" si="29"/>
        <v>0</v>
      </c>
      <c r="BO20" s="458" t="s">
        <v>163</v>
      </c>
      <c r="BP20" s="33">
        <f t="shared" si="43"/>
        <v>0</v>
      </c>
      <c r="BQ20" s="33">
        <f t="shared" si="30"/>
        <v>0</v>
      </c>
      <c r="BR20" s="34">
        <f t="shared" si="31"/>
        <v>0</v>
      </c>
      <c r="BT20" s="37">
        <f>IFERROR(VLOOKUP(BT7, Background!$C$64:$F$73, 3, FALSE)*BT12/1000, 0)</f>
        <v>0</v>
      </c>
      <c r="BU20" s="36" t="str">
        <f t="shared" si="32"/>
        <v/>
      </c>
      <c r="BV20" s="458"/>
      <c r="BW20" s="275">
        <f t="shared" si="33"/>
        <v>0</v>
      </c>
      <c r="BX20" s="458"/>
      <c r="BY20" s="65">
        <f t="shared" si="34"/>
        <v>0</v>
      </c>
      <c r="BZ20" s="32">
        <f t="shared" si="35"/>
        <v>0.104</v>
      </c>
      <c r="CA20" s="459"/>
      <c r="CB20" s="33">
        <f t="shared" si="36"/>
        <v>0</v>
      </c>
      <c r="CC20" s="458" t="s">
        <v>163</v>
      </c>
      <c r="CD20" s="33">
        <f t="shared" si="44"/>
        <v>0</v>
      </c>
      <c r="CE20" s="33">
        <f t="shared" si="37"/>
        <v>0</v>
      </c>
      <c r="CF20" s="34">
        <f t="shared" si="38"/>
        <v>0</v>
      </c>
    </row>
    <row r="21" spans="2:84" ht="18" customHeight="1" thickBot="1" x14ac:dyDescent="0.4">
      <c r="B21" s="39"/>
      <c r="C21" s="457"/>
      <c r="D21" s="458"/>
      <c r="E21" s="458"/>
      <c r="F21" s="458"/>
      <c r="G21" s="459"/>
      <c r="H21" s="32">
        <f t="shared" ref="H21:H68" si="45">MIN(0.95, MAX(0.104, EXP(15175*((G21+273.15)-303.15)/(1.987*(G21+273.15)*303.15))))</f>
        <v>0.104</v>
      </c>
      <c r="I21" s="459"/>
      <c r="J21" s="33">
        <f t="shared" ref="J21:J68" si="46">(B$20*D21*I21*E21*0.8)+L21</f>
        <v>0</v>
      </c>
      <c r="K21" s="458" t="s">
        <v>163</v>
      </c>
      <c r="L21" s="33">
        <f t="shared" si="39"/>
        <v>0</v>
      </c>
      <c r="M21" s="33">
        <f>J21*H21</f>
        <v>0</v>
      </c>
      <c r="N21" s="34">
        <f t="shared" si="3"/>
        <v>0</v>
      </c>
      <c r="P21" s="39"/>
      <c r="Q21" s="36" t="str">
        <f>IF($C21=0, "", $C21)</f>
        <v/>
      </c>
      <c r="R21" s="458"/>
      <c r="S21" s="275">
        <f>E21</f>
        <v>0</v>
      </c>
      <c r="T21" s="458"/>
      <c r="U21" s="65">
        <f>G21</f>
        <v>0</v>
      </c>
      <c r="V21" s="32">
        <f>MIN(0.95, MAX(0.104, EXP(15175*((U21+273)-303.16)/(1.987*(U21+273)*303.16))))</f>
        <v>0.104</v>
      </c>
      <c r="W21" s="459"/>
      <c r="X21" s="33">
        <f>(P$20*R21*W21*S21*0.8)+Z21</f>
        <v>0</v>
      </c>
      <c r="Y21" s="458" t="s">
        <v>163</v>
      </c>
      <c r="Z21" s="33">
        <f>IF(Y20="Not Applicable", (X20-AA20), 0)</f>
        <v>0</v>
      </c>
      <c r="AA21" s="33">
        <f>X21*V21</f>
        <v>0</v>
      </c>
      <c r="AB21" s="34">
        <f t="shared" si="10"/>
        <v>0</v>
      </c>
      <c r="AD21" s="39"/>
      <c r="AE21" s="36" t="str">
        <f>IF($C21=0, "", $C21)</f>
        <v/>
      </c>
      <c r="AF21" s="458"/>
      <c r="AG21" s="275">
        <f>E21</f>
        <v>0</v>
      </c>
      <c r="AH21" s="458"/>
      <c r="AI21" s="65">
        <f>G21</f>
        <v>0</v>
      </c>
      <c r="AJ21" s="32">
        <f>MIN(0.95, MAX(0.104, EXP(15175*((AI21+273)-303.16)/(1.987*(AI21+273)*303.16))))</f>
        <v>0.104</v>
      </c>
      <c r="AK21" s="459"/>
      <c r="AL21" s="33">
        <f>(AD$20*AF21*AK21*AG21*0.8)+AN21</f>
        <v>0</v>
      </c>
      <c r="AM21" s="458" t="s">
        <v>163</v>
      </c>
      <c r="AN21" s="33">
        <f t="shared" ref="AN21:AN68" si="47">IF(AM20="Not Applicable", (AL20-AO20), 0)</f>
        <v>0</v>
      </c>
      <c r="AO21" s="33">
        <f>AL21*AJ21</f>
        <v>0</v>
      </c>
      <c r="AP21" s="34">
        <f t="shared" si="17"/>
        <v>0</v>
      </c>
      <c r="AR21" s="39"/>
      <c r="AS21" s="36" t="str">
        <f>IF($C21=0, "", $C21)</f>
        <v/>
      </c>
      <c r="AT21" s="458"/>
      <c r="AU21" s="275">
        <f>E21</f>
        <v>0</v>
      </c>
      <c r="AV21" s="458"/>
      <c r="AW21" s="65">
        <f>G21</f>
        <v>0</v>
      </c>
      <c r="AX21" s="32">
        <f>MIN(0.95, MAX(0.104, EXP(15175*((AW21+273)-303.16)/(1.987*(AW21+273)*303.16))))</f>
        <v>0.104</v>
      </c>
      <c r="AY21" s="459"/>
      <c r="AZ21" s="33">
        <f>(AR$20*AT21*AY21*AU21*0.8)+BB21</f>
        <v>0</v>
      </c>
      <c r="BA21" s="458" t="s">
        <v>163</v>
      </c>
      <c r="BB21" s="33">
        <f t="shared" ref="BB21:BB68" si="48">IF(BA20="Not Applicable", (AZ20-BC20), 0)</f>
        <v>0</v>
      </c>
      <c r="BC21" s="33">
        <f>AZ21*AX21</f>
        <v>0</v>
      </c>
      <c r="BD21" s="34">
        <f t="shared" si="24"/>
        <v>0</v>
      </c>
      <c r="BF21" s="39"/>
      <c r="BG21" s="36" t="str">
        <f>IF($C21=0, "", $C21)</f>
        <v/>
      </c>
      <c r="BH21" s="458"/>
      <c r="BI21" s="275">
        <f>E21</f>
        <v>0</v>
      </c>
      <c r="BJ21" s="458"/>
      <c r="BK21" s="65">
        <f>G21</f>
        <v>0</v>
      </c>
      <c r="BL21" s="32">
        <f>MIN(0.95, MAX(0.104, EXP(15175*((BK21+273)-303.16)/(1.987*(BK21+273)*303.16))))</f>
        <v>0.104</v>
      </c>
      <c r="BM21" s="459"/>
      <c r="BN21" s="33">
        <f>(BF$20*BH21*BM21*BI21*0.8)+BP21</f>
        <v>0</v>
      </c>
      <c r="BO21" s="458" t="s">
        <v>163</v>
      </c>
      <c r="BP21" s="33">
        <f t="shared" ref="BP21:BP68" si="49">IF(BO20="Not Applicable", (BN20-BQ20), 0)</f>
        <v>0</v>
      </c>
      <c r="BQ21" s="33">
        <f>BN21*BL21</f>
        <v>0</v>
      </c>
      <c r="BR21" s="34">
        <f t="shared" si="31"/>
        <v>0</v>
      </c>
      <c r="BT21" s="39"/>
      <c r="BU21" s="36" t="str">
        <f>IF($C21=0, "", $C21)</f>
        <v/>
      </c>
      <c r="BV21" s="458"/>
      <c r="BW21" s="275">
        <f>E21</f>
        <v>0</v>
      </c>
      <c r="BX21" s="458"/>
      <c r="BY21" s="65">
        <f>G21</f>
        <v>0</v>
      </c>
      <c r="BZ21" s="32">
        <f>MIN(0.95, MAX(0.104, EXP(15175*((BY21+273)-303.16)/(1.987*(BY21+273)*303.16))))</f>
        <v>0.104</v>
      </c>
      <c r="CA21" s="459"/>
      <c r="CB21" s="33">
        <f>(BT$20*BV21*CA21*BW21*0.8)+CD21</f>
        <v>0</v>
      </c>
      <c r="CC21" s="458" t="s">
        <v>163</v>
      </c>
      <c r="CD21" s="33">
        <f t="shared" ref="CD21:CD68" si="50">IF(CC20="Not Applicable", (CB20-CE20), 0)</f>
        <v>0</v>
      </c>
      <c r="CE21" s="33">
        <f>CB21*BZ21</f>
        <v>0</v>
      </c>
      <c r="CF21" s="34">
        <f t="shared" si="38"/>
        <v>0</v>
      </c>
    </row>
    <row r="22" spans="2:84" ht="18" customHeight="1" x14ac:dyDescent="0.35">
      <c r="B22" s="463" t="s">
        <v>176</v>
      </c>
      <c r="C22" s="457"/>
      <c r="D22" s="458"/>
      <c r="E22" s="458"/>
      <c r="F22" s="458"/>
      <c r="G22" s="459"/>
      <c r="H22" s="32">
        <f t="shared" si="45"/>
        <v>0.104</v>
      </c>
      <c r="I22" s="459"/>
      <c r="J22" s="33">
        <f t="shared" si="46"/>
        <v>0</v>
      </c>
      <c r="K22" s="458" t="s">
        <v>163</v>
      </c>
      <c r="L22" s="33">
        <f t="shared" si="39"/>
        <v>0</v>
      </c>
      <c r="M22" s="33">
        <f t="shared" si="2"/>
        <v>0</v>
      </c>
      <c r="N22" s="34">
        <f t="shared" si="3"/>
        <v>0</v>
      </c>
      <c r="P22" s="463" t="s">
        <v>177</v>
      </c>
      <c r="Q22" s="36" t="str">
        <f t="shared" si="4"/>
        <v/>
      </c>
      <c r="R22" s="458"/>
      <c r="S22" s="275">
        <f t="shared" si="5"/>
        <v>0</v>
      </c>
      <c r="T22" s="458"/>
      <c r="U22" s="65">
        <f t="shared" si="6"/>
        <v>0</v>
      </c>
      <c r="V22" s="32">
        <f t="shared" si="7"/>
        <v>0.104</v>
      </c>
      <c r="W22" s="459"/>
      <c r="X22" s="33">
        <f t="shared" si="8"/>
        <v>0</v>
      </c>
      <c r="Y22" s="458" t="s">
        <v>163</v>
      </c>
      <c r="Z22" s="33">
        <f>IF(Y21="Not Applicable", (X21-AA21), 0)</f>
        <v>0</v>
      </c>
      <c r="AA22" s="33">
        <f t="shared" si="9"/>
        <v>0</v>
      </c>
      <c r="AB22" s="34">
        <f t="shared" si="10"/>
        <v>0</v>
      </c>
      <c r="AD22" s="463" t="s">
        <v>178</v>
      </c>
      <c r="AE22" s="36" t="str">
        <f t="shared" si="11"/>
        <v/>
      </c>
      <c r="AF22" s="458"/>
      <c r="AG22" s="275">
        <f t="shared" si="12"/>
        <v>0</v>
      </c>
      <c r="AH22" s="458"/>
      <c r="AI22" s="65">
        <f t="shared" si="13"/>
        <v>0</v>
      </c>
      <c r="AJ22" s="32">
        <f t="shared" si="14"/>
        <v>0.104</v>
      </c>
      <c r="AK22" s="459"/>
      <c r="AL22" s="33">
        <f t="shared" si="15"/>
        <v>0</v>
      </c>
      <c r="AM22" s="458" t="s">
        <v>163</v>
      </c>
      <c r="AN22" s="33">
        <f t="shared" si="47"/>
        <v>0</v>
      </c>
      <c r="AO22" s="33">
        <f t="shared" si="16"/>
        <v>0</v>
      </c>
      <c r="AP22" s="34">
        <f t="shared" si="17"/>
        <v>0</v>
      </c>
      <c r="AR22" s="463" t="s">
        <v>179</v>
      </c>
      <c r="AS22" s="36" t="str">
        <f t="shared" si="18"/>
        <v/>
      </c>
      <c r="AT22" s="458"/>
      <c r="AU22" s="275">
        <f t="shared" si="19"/>
        <v>0</v>
      </c>
      <c r="AV22" s="458"/>
      <c r="AW22" s="65">
        <f t="shared" si="20"/>
        <v>0</v>
      </c>
      <c r="AX22" s="32">
        <f t="shared" si="21"/>
        <v>0.104</v>
      </c>
      <c r="AY22" s="459"/>
      <c r="AZ22" s="33">
        <f t="shared" si="22"/>
        <v>0</v>
      </c>
      <c r="BA22" s="458" t="s">
        <v>163</v>
      </c>
      <c r="BB22" s="33">
        <f t="shared" si="48"/>
        <v>0</v>
      </c>
      <c r="BC22" s="33">
        <f t="shared" si="23"/>
        <v>0</v>
      </c>
      <c r="BD22" s="34">
        <f t="shared" si="24"/>
        <v>0</v>
      </c>
      <c r="BF22" s="463" t="s">
        <v>180</v>
      </c>
      <c r="BG22" s="36" t="str">
        <f t="shared" si="25"/>
        <v/>
      </c>
      <c r="BH22" s="458"/>
      <c r="BI22" s="275">
        <f t="shared" si="26"/>
        <v>0</v>
      </c>
      <c r="BJ22" s="458"/>
      <c r="BK22" s="65">
        <f t="shared" si="27"/>
        <v>0</v>
      </c>
      <c r="BL22" s="32">
        <f t="shared" si="28"/>
        <v>0.104</v>
      </c>
      <c r="BM22" s="459"/>
      <c r="BN22" s="33">
        <f t="shared" si="29"/>
        <v>0</v>
      </c>
      <c r="BO22" s="458" t="s">
        <v>163</v>
      </c>
      <c r="BP22" s="33">
        <f t="shared" si="49"/>
        <v>0</v>
      </c>
      <c r="BQ22" s="33">
        <f t="shared" si="30"/>
        <v>0</v>
      </c>
      <c r="BR22" s="34">
        <f t="shared" si="31"/>
        <v>0</v>
      </c>
      <c r="BT22" s="463" t="s">
        <v>181</v>
      </c>
      <c r="BU22" s="36" t="str">
        <f t="shared" si="32"/>
        <v/>
      </c>
      <c r="BV22" s="458"/>
      <c r="BW22" s="275">
        <f t="shared" si="33"/>
        <v>0</v>
      </c>
      <c r="BX22" s="458"/>
      <c r="BY22" s="65">
        <f t="shared" si="34"/>
        <v>0</v>
      </c>
      <c r="BZ22" s="32">
        <f t="shared" si="35"/>
        <v>0.104</v>
      </c>
      <c r="CA22" s="459"/>
      <c r="CB22" s="33">
        <f t="shared" si="36"/>
        <v>0</v>
      </c>
      <c r="CC22" s="458" t="s">
        <v>163</v>
      </c>
      <c r="CD22" s="33">
        <f t="shared" si="50"/>
        <v>0</v>
      </c>
      <c r="CE22" s="33">
        <f t="shared" si="37"/>
        <v>0</v>
      </c>
      <c r="CF22" s="34">
        <f t="shared" si="38"/>
        <v>0</v>
      </c>
    </row>
    <row r="23" spans="2:84" ht="18" customHeight="1" thickBot="1" x14ac:dyDescent="0.4">
      <c r="B23" s="451"/>
      <c r="C23" s="457"/>
      <c r="D23" s="458"/>
      <c r="E23" s="458"/>
      <c r="F23" s="458"/>
      <c r="G23" s="459"/>
      <c r="H23" s="32">
        <f t="shared" si="45"/>
        <v>0.104</v>
      </c>
      <c r="I23" s="459"/>
      <c r="J23" s="33">
        <f t="shared" si="46"/>
        <v>0</v>
      </c>
      <c r="K23" s="458" t="s">
        <v>163</v>
      </c>
      <c r="L23" s="33">
        <f t="shared" si="39"/>
        <v>0</v>
      </c>
      <c r="M23" s="33">
        <f t="shared" si="2"/>
        <v>0</v>
      </c>
      <c r="N23" s="34">
        <f t="shared" si="3"/>
        <v>0</v>
      </c>
      <c r="P23" s="451"/>
      <c r="Q23" s="36" t="str">
        <f t="shared" si="4"/>
        <v/>
      </c>
      <c r="R23" s="458"/>
      <c r="S23" s="275">
        <f t="shared" si="5"/>
        <v>0</v>
      </c>
      <c r="T23" s="458"/>
      <c r="U23" s="65">
        <f t="shared" si="6"/>
        <v>0</v>
      </c>
      <c r="V23" s="32">
        <f t="shared" si="7"/>
        <v>0.104</v>
      </c>
      <c r="W23" s="459"/>
      <c r="X23" s="33">
        <f t="shared" si="8"/>
        <v>0</v>
      </c>
      <c r="Y23" s="458" t="s">
        <v>163</v>
      </c>
      <c r="Z23" s="33">
        <f t="shared" si="40"/>
        <v>0</v>
      </c>
      <c r="AA23" s="33">
        <f t="shared" si="9"/>
        <v>0</v>
      </c>
      <c r="AB23" s="34">
        <f t="shared" si="10"/>
        <v>0</v>
      </c>
      <c r="AD23" s="451"/>
      <c r="AE23" s="36" t="str">
        <f t="shared" si="11"/>
        <v/>
      </c>
      <c r="AF23" s="458"/>
      <c r="AG23" s="275">
        <f t="shared" si="12"/>
        <v>0</v>
      </c>
      <c r="AH23" s="458"/>
      <c r="AI23" s="65">
        <f t="shared" si="13"/>
        <v>0</v>
      </c>
      <c r="AJ23" s="32">
        <f t="shared" si="14"/>
        <v>0.104</v>
      </c>
      <c r="AK23" s="459"/>
      <c r="AL23" s="33">
        <f t="shared" si="15"/>
        <v>0</v>
      </c>
      <c r="AM23" s="458" t="s">
        <v>163</v>
      </c>
      <c r="AN23" s="33">
        <f t="shared" si="47"/>
        <v>0</v>
      </c>
      <c r="AO23" s="33">
        <f t="shared" si="16"/>
        <v>0</v>
      </c>
      <c r="AP23" s="34">
        <f t="shared" si="17"/>
        <v>0</v>
      </c>
      <c r="AR23" s="451"/>
      <c r="AS23" s="36" t="str">
        <f t="shared" si="18"/>
        <v/>
      </c>
      <c r="AT23" s="458"/>
      <c r="AU23" s="275">
        <f t="shared" si="19"/>
        <v>0</v>
      </c>
      <c r="AV23" s="458"/>
      <c r="AW23" s="65">
        <f t="shared" si="20"/>
        <v>0</v>
      </c>
      <c r="AX23" s="32">
        <f t="shared" si="21"/>
        <v>0.104</v>
      </c>
      <c r="AY23" s="459"/>
      <c r="AZ23" s="33">
        <f t="shared" si="22"/>
        <v>0</v>
      </c>
      <c r="BA23" s="458" t="s">
        <v>163</v>
      </c>
      <c r="BB23" s="33">
        <f t="shared" si="48"/>
        <v>0</v>
      </c>
      <c r="BC23" s="33">
        <f t="shared" si="23"/>
        <v>0</v>
      </c>
      <c r="BD23" s="34">
        <f t="shared" si="24"/>
        <v>0</v>
      </c>
      <c r="BF23" s="451"/>
      <c r="BG23" s="36" t="str">
        <f t="shared" si="25"/>
        <v/>
      </c>
      <c r="BH23" s="458"/>
      <c r="BI23" s="275">
        <f t="shared" si="26"/>
        <v>0</v>
      </c>
      <c r="BJ23" s="458"/>
      <c r="BK23" s="65">
        <f t="shared" si="27"/>
        <v>0</v>
      </c>
      <c r="BL23" s="32">
        <f t="shared" si="28"/>
        <v>0.104</v>
      </c>
      <c r="BM23" s="459"/>
      <c r="BN23" s="33">
        <f t="shared" si="29"/>
        <v>0</v>
      </c>
      <c r="BO23" s="458" t="s">
        <v>163</v>
      </c>
      <c r="BP23" s="33">
        <f t="shared" si="49"/>
        <v>0</v>
      </c>
      <c r="BQ23" s="33">
        <f t="shared" si="30"/>
        <v>0</v>
      </c>
      <c r="BR23" s="34">
        <f t="shared" si="31"/>
        <v>0</v>
      </c>
      <c r="BT23" s="451"/>
      <c r="BU23" s="36" t="str">
        <f t="shared" si="32"/>
        <v/>
      </c>
      <c r="BV23" s="458"/>
      <c r="BW23" s="275">
        <f t="shared" si="33"/>
        <v>0</v>
      </c>
      <c r="BX23" s="458"/>
      <c r="BY23" s="65">
        <f t="shared" si="34"/>
        <v>0</v>
      </c>
      <c r="BZ23" s="32">
        <f t="shared" si="35"/>
        <v>0.104</v>
      </c>
      <c r="CA23" s="459"/>
      <c r="CB23" s="33">
        <f t="shared" si="36"/>
        <v>0</v>
      </c>
      <c r="CC23" s="458" t="s">
        <v>163</v>
      </c>
      <c r="CD23" s="33">
        <f t="shared" si="50"/>
        <v>0</v>
      </c>
      <c r="CE23" s="33">
        <f t="shared" si="37"/>
        <v>0</v>
      </c>
      <c r="CF23" s="34">
        <f t="shared" si="38"/>
        <v>0</v>
      </c>
    </row>
    <row r="24" spans="2:84" ht="18" customHeight="1" x14ac:dyDescent="0.35">
      <c r="C24" s="457"/>
      <c r="D24" s="458"/>
      <c r="E24" s="458"/>
      <c r="F24" s="458"/>
      <c r="G24" s="459"/>
      <c r="H24" s="32">
        <f t="shared" ref="H24:H60" si="51">MIN(0.95, MAX(0.104, EXP(15175*((G24+273.15)-303.15)/(1.987*(G24+273.15)*303.15))))</f>
        <v>0.104</v>
      </c>
      <c r="I24" s="459"/>
      <c r="J24" s="33">
        <f t="shared" ref="J24:J60" si="52">(B$20*D24*I24*E24*0.8)+L24</f>
        <v>0</v>
      </c>
      <c r="K24" s="458" t="s">
        <v>163</v>
      </c>
      <c r="L24" s="33">
        <f t="shared" si="39"/>
        <v>0</v>
      </c>
      <c r="M24" s="33">
        <f t="shared" ref="M24:M60" si="53">J24*H24</f>
        <v>0</v>
      </c>
      <c r="N24" s="34">
        <f t="shared" ref="N24:N60" si="54">IFERROR(M24*B$16*density_CH4*g2MT/ft32m3*(F24/E24), 0)</f>
        <v>0</v>
      </c>
      <c r="P24" s="39"/>
      <c r="Q24" s="36" t="str">
        <f t="shared" si="4"/>
        <v/>
      </c>
      <c r="R24" s="458"/>
      <c r="S24" s="275">
        <f t="shared" si="5"/>
        <v>0</v>
      </c>
      <c r="T24" s="458"/>
      <c r="U24" s="65">
        <f t="shared" si="6"/>
        <v>0</v>
      </c>
      <c r="V24" s="32">
        <f t="shared" si="7"/>
        <v>0.104</v>
      </c>
      <c r="W24" s="459"/>
      <c r="X24" s="33">
        <f t="shared" si="8"/>
        <v>0</v>
      </c>
      <c r="Y24" s="458" t="s">
        <v>163</v>
      </c>
      <c r="Z24" s="33">
        <f>IF(Y23="Not Applicable", (X23-AA23), 0)</f>
        <v>0</v>
      </c>
      <c r="AA24" s="33">
        <f t="shared" si="9"/>
        <v>0</v>
      </c>
      <c r="AB24" s="34">
        <f t="shared" si="10"/>
        <v>0</v>
      </c>
      <c r="AD24" s="39"/>
      <c r="AE24" s="36" t="str">
        <f t="shared" si="11"/>
        <v/>
      </c>
      <c r="AF24" s="458"/>
      <c r="AG24" s="275">
        <f t="shared" si="12"/>
        <v>0</v>
      </c>
      <c r="AH24" s="458"/>
      <c r="AI24" s="65">
        <f t="shared" si="13"/>
        <v>0</v>
      </c>
      <c r="AJ24" s="32">
        <f t="shared" si="14"/>
        <v>0.104</v>
      </c>
      <c r="AK24" s="459"/>
      <c r="AL24" s="33">
        <f t="shared" si="15"/>
        <v>0</v>
      </c>
      <c r="AM24" s="458" t="s">
        <v>163</v>
      </c>
      <c r="AN24" s="33">
        <f>IF(AM23="Not Applicable", (AL23-AO23), 0)</f>
        <v>0</v>
      </c>
      <c r="AO24" s="33">
        <f t="shared" si="16"/>
        <v>0</v>
      </c>
      <c r="AP24" s="34">
        <f t="shared" si="17"/>
        <v>0</v>
      </c>
      <c r="AR24" s="39"/>
      <c r="AS24" s="36" t="str">
        <f t="shared" si="18"/>
        <v/>
      </c>
      <c r="AT24" s="458"/>
      <c r="AU24" s="275">
        <f t="shared" si="19"/>
        <v>0</v>
      </c>
      <c r="AV24" s="458"/>
      <c r="AW24" s="65">
        <f t="shared" si="20"/>
        <v>0</v>
      </c>
      <c r="AX24" s="32">
        <f t="shared" si="21"/>
        <v>0.104</v>
      </c>
      <c r="AY24" s="459"/>
      <c r="AZ24" s="33">
        <f t="shared" si="22"/>
        <v>0</v>
      </c>
      <c r="BA24" s="458" t="s">
        <v>163</v>
      </c>
      <c r="BB24" s="33">
        <f>IF(BA23="Not Applicable", (AZ23-BC23), 0)</f>
        <v>0</v>
      </c>
      <c r="BC24" s="33">
        <f t="shared" si="23"/>
        <v>0</v>
      </c>
      <c r="BD24" s="34">
        <f t="shared" si="24"/>
        <v>0</v>
      </c>
      <c r="BF24" s="39"/>
      <c r="BG24" s="36" t="str">
        <f t="shared" si="25"/>
        <v/>
      </c>
      <c r="BH24" s="458"/>
      <c r="BI24" s="275">
        <f t="shared" si="26"/>
        <v>0</v>
      </c>
      <c r="BJ24" s="458"/>
      <c r="BK24" s="65">
        <f t="shared" si="27"/>
        <v>0</v>
      </c>
      <c r="BL24" s="32">
        <f t="shared" si="28"/>
        <v>0.104</v>
      </c>
      <c r="BM24" s="459"/>
      <c r="BN24" s="33">
        <f t="shared" si="29"/>
        <v>0</v>
      </c>
      <c r="BO24" s="458" t="s">
        <v>163</v>
      </c>
      <c r="BP24" s="33">
        <f>IF(BO23="Not Applicable", (BN23-BQ23), 0)</f>
        <v>0</v>
      </c>
      <c r="BQ24" s="33">
        <f t="shared" si="30"/>
        <v>0</v>
      </c>
      <c r="BR24" s="34">
        <f t="shared" si="31"/>
        <v>0</v>
      </c>
      <c r="BT24" s="39"/>
      <c r="BU24" s="36" t="str">
        <f t="shared" si="32"/>
        <v/>
      </c>
      <c r="BV24" s="458"/>
      <c r="BW24" s="275">
        <f t="shared" si="33"/>
        <v>0</v>
      </c>
      <c r="BX24" s="458"/>
      <c r="BY24" s="65">
        <f t="shared" si="34"/>
        <v>0</v>
      </c>
      <c r="BZ24" s="32">
        <f t="shared" si="35"/>
        <v>0.104</v>
      </c>
      <c r="CA24" s="459"/>
      <c r="CB24" s="33">
        <f t="shared" si="36"/>
        <v>0</v>
      </c>
      <c r="CC24" s="458" t="s">
        <v>163</v>
      </c>
      <c r="CD24" s="33">
        <f>IF(CC23="Not Applicable", (CB23-CE23), 0)</f>
        <v>0</v>
      </c>
      <c r="CE24" s="33">
        <f t="shared" si="37"/>
        <v>0</v>
      </c>
      <c r="CF24" s="34">
        <f t="shared" si="38"/>
        <v>0</v>
      </c>
    </row>
    <row r="25" spans="2:84" ht="18" customHeight="1" x14ac:dyDescent="0.35">
      <c r="C25" s="457"/>
      <c r="D25" s="458"/>
      <c r="E25" s="458"/>
      <c r="F25" s="458"/>
      <c r="G25" s="459"/>
      <c r="H25" s="32">
        <f t="shared" si="51"/>
        <v>0.104</v>
      </c>
      <c r="I25" s="459"/>
      <c r="J25" s="33">
        <f t="shared" si="52"/>
        <v>0</v>
      </c>
      <c r="K25" s="458" t="s">
        <v>163</v>
      </c>
      <c r="L25" s="33">
        <f t="shared" si="39"/>
        <v>0</v>
      </c>
      <c r="M25" s="33">
        <f t="shared" si="53"/>
        <v>0</v>
      </c>
      <c r="N25" s="34">
        <f t="shared" si="54"/>
        <v>0</v>
      </c>
      <c r="P25" s="39"/>
      <c r="Q25" s="36" t="str">
        <f t="shared" si="4"/>
        <v/>
      </c>
      <c r="R25" s="458"/>
      <c r="S25" s="275">
        <f t="shared" ref="S25:S61" si="55">E25</f>
        <v>0</v>
      </c>
      <c r="T25" s="458"/>
      <c r="U25" s="65">
        <f t="shared" ref="U25:U61" si="56">G25</f>
        <v>0</v>
      </c>
      <c r="V25" s="32">
        <f t="shared" ref="V25:V61" si="57">MIN(0.95, MAX(0.104, EXP(15175*((U25+273)-303.16)/(1.987*(U25+273)*303.16))))</f>
        <v>0.104</v>
      </c>
      <c r="W25" s="459"/>
      <c r="X25" s="33">
        <f t="shared" ref="X25:X61" si="58">(P$20*R25*W25*S25*0.8)+Z25</f>
        <v>0</v>
      </c>
      <c r="Y25" s="458" t="s">
        <v>163</v>
      </c>
      <c r="Z25" s="33">
        <f t="shared" ref="Z25:Z61" si="59">IF(Y24="Not Applicable", (X24-AA24), 0)</f>
        <v>0</v>
      </c>
      <c r="AA25" s="33">
        <f t="shared" ref="AA25:AA61" si="60">X25*V25</f>
        <v>0</v>
      </c>
      <c r="AB25" s="34">
        <f t="shared" ref="AB25:AB61" si="61">IFERROR(AA25*P$16*density_CH4*g2MT/ft32m3*(T25/S25), 0)</f>
        <v>0</v>
      </c>
      <c r="AD25" s="39"/>
      <c r="AE25" s="36" t="str">
        <f t="shared" si="11"/>
        <v/>
      </c>
      <c r="AF25" s="458"/>
      <c r="AG25" s="275">
        <f t="shared" ref="AG25:AG61" si="62">E25</f>
        <v>0</v>
      </c>
      <c r="AH25" s="458"/>
      <c r="AI25" s="65">
        <f t="shared" ref="AI25:AI61" si="63">G25</f>
        <v>0</v>
      </c>
      <c r="AJ25" s="32">
        <f t="shared" ref="AJ25:AJ61" si="64">MIN(0.95, MAX(0.104, EXP(15175*((AI25+273)-303.16)/(1.987*(AI25+273)*303.16))))</f>
        <v>0.104</v>
      </c>
      <c r="AK25" s="459"/>
      <c r="AL25" s="33">
        <f t="shared" ref="AL25:AL61" si="65">(AD$20*AF25*AK25*AG25*0.8)+AN25</f>
        <v>0</v>
      </c>
      <c r="AM25" s="458" t="s">
        <v>163</v>
      </c>
      <c r="AN25" s="33">
        <f t="shared" ref="AN25:AN61" si="66">IF(AM24="Not Applicable", (AL24-AO24), 0)</f>
        <v>0</v>
      </c>
      <c r="AO25" s="33">
        <f t="shared" ref="AO25:AO61" si="67">AL25*AJ25</f>
        <v>0</v>
      </c>
      <c r="AP25" s="34">
        <f t="shared" ref="AP25:AP61" si="68">IFERROR(AO25*AD$16*density_CH4*g2MT/ft32m3*(AH25/AG25), 0)</f>
        <v>0</v>
      </c>
      <c r="AR25" s="39"/>
      <c r="AS25" s="36" t="str">
        <f t="shared" si="18"/>
        <v/>
      </c>
      <c r="AT25" s="458"/>
      <c r="AU25" s="275">
        <f t="shared" ref="AU25:AU61" si="69">E25</f>
        <v>0</v>
      </c>
      <c r="AV25" s="458"/>
      <c r="AW25" s="65">
        <f t="shared" ref="AW25:AW61" si="70">G25</f>
        <v>0</v>
      </c>
      <c r="AX25" s="32">
        <f t="shared" ref="AX25:AX61" si="71">MIN(0.95, MAX(0.104, EXP(15175*((AW25+273)-303.16)/(1.987*(AW25+273)*303.16))))</f>
        <v>0.104</v>
      </c>
      <c r="AY25" s="459"/>
      <c r="AZ25" s="33">
        <f t="shared" ref="AZ25:AZ61" si="72">(AR$20*AT25*AY25*AU25*0.8)+BB25</f>
        <v>0</v>
      </c>
      <c r="BA25" s="458" t="s">
        <v>163</v>
      </c>
      <c r="BB25" s="33">
        <f t="shared" ref="BB25:BB61" si="73">IF(BA24="Not Applicable", (AZ24-BC24), 0)</f>
        <v>0</v>
      </c>
      <c r="BC25" s="33">
        <f t="shared" ref="BC25:BC61" si="74">AZ25*AX25</f>
        <v>0</v>
      </c>
      <c r="BD25" s="34">
        <f t="shared" ref="BD25:BD61" si="75">IFERROR(BC25*AR$16*density_CH4*g2MT/ft32m3*(AV25/AU25), 0)</f>
        <v>0</v>
      </c>
      <c r="BF25" s="39"/>
      <c r="BG25" s="36" t="str">
        <f t="shared" si="25"/>
        <v/>
      </c>
      <c r="BH25" s="458"/>
      <c r="BI25" s="275">
        <f t="shared" ref="BI25:BI61" si="76">E25</f>
        <v>0</v>
      </c>
      <c r="BJ25" s="458"/>
      <c r="BK25" s="65">
        <f t="shared" ref="BK25:BK61" si="77">G25</f>
        <v>0</v>
      </c>
      <c r="BL25" s="32">
        <f t="shared" ref="BL25:BL61" si="78">MIN(0.95, MAX(0.104, EXP(15175*((BK25+273)-303.16)/(1.987*(BK25+273)*303.16))))</f>
        <v>0.104</v>
      </c>
      <c r="BM25" s="459"/>
      <c r="BN25" s="33">
        <f t="shared" ref="BN25:BN61" si="79">(BF$20*BH25*BM25*BI25*0.8)+BP25</f>
        <v>0</v>
      </c>
      <c r="BO25" s="458" t="s">
        <v>163</v>
      </c>
      <c r="BP25" s="33">
        <f t="shared" ref="BP25:BP61" si="80">IF(BO24="Not Applicable", (BN24-BQ24), 0)</f>
        <v>0</v>
      </c>
      <c r="BQ25" s="33">
        <f t="shared" ref="BQ25:BQ61" si="81">BN25*BL25</f>
        <v>0</v>
      </c>
      <c r="BR25" s="34">
        <f t="shared" ref="BR25:BR61" si="82">IFERROR(BQ25*BF$16*density_CH4*g2MT/ft32m3*(BJ25/BI25), 0)</f>
        <v>0</v>
      </c>
      <c r="BT25" s="39"/>
      <c r="BU25" s="36" t="str">
        <f t="shared" si="32"/>
        <v/>
      </c>
      <c r="BV25" s="458"/>
      <c r="BW25" s="275">
        <f t="shared" ref="BW25:BW61" si="83">E25</f>
        <v>0</v>
      </c>
      <c r="BX25" s="458"/>
      <c r="BY25" s="65">
        <f t="shared" ref="BY25:BY61" si="84">G25</f>
        <v>0</v>
      </c>
      <c r="BZ25" s="32">
        <f t="shared" ref="BZ25:BZ61" si="85">MIN(0.95, MAX(0.104, EXP(15175*((BY25+273)-303.16)/(1.987*(BY25+273)*303.16))))</f>
        <v>0.104</v>
      </c>
      <c r="CA25" s="459"/>
      <c r="CB25" s="33">
        <f t="shared" ref="CB25:CB61" si="86">(BT$20*BV25*CA25*BW25*0.8)+CD25</f>
        <v>0</v>
      </c>
      <c r="CC25" s="458" t="s">
        <v>163</v>
      </c>
      <c r="CD25" s="33">
        <f t="shared" ref="CD25:CD61" si="87">IF(CC24="Not Applicable", (CB24-CE24), 0)</f>
        <v>0</v>
      </c>
      <c r="CE25" s="33">
        <f t="shared" ref="CE25:CE61" si="88">CB25*BZ25</f>
        <v>0</v>
      </c>
      <c r="CF25" s="34">
        <f t="shared" ref="CF25:CF61" si="89">IFERROR(CE25*BT$16*density_CH4*g2MT/ft32m3*(BX25/BW25), 0)</f>
        <v>0</v>
      </c>
    </row>
    <row r="26" spans="2:84" ht="18" customHeight="1" x14ac:dyDescent="0.35">
      <c r="C26" s="457"/>
      <c r="D26" s="458"/>
      <c r="E26" s="458"/>
      <c r="F26" s="458"/>
      <c r="G26" s="459"/>
      <c r="H26" s="32">
        <f t="shared" si="51"/>
        <v>0.104</v>
      </c>
      <c r="I26" s="459"/>
      <c r="J26" s="33">
        <f t="shared" si="52"/>
        <v>0</v>
      </c>
      <c r="K26" s="458" t="s">
        <v>163</v>
      </c>
      <c r="L26" s="33">
        <f t="shared" si="39"/>
        <v>0</v>
      </c>
      <c r="M26" s="33">
        <f t="shared" si="53"/>
        <v>0</v>
      </c>
      <c r="N26" s="34">
        <f t="shared" si="54"/>
        <v>0</v>
      </c>
      <c r="P26" s="39"/>
      <c r="Q26" s="36" t="str">
        <f t="shared" si="4"/>
        <v/>
      </c>
      <c r="R26" s="458"/>
      <c r="S26" s="275">
        <f t="shared" si="55"/>
        <v>0</v>
      </c>
      <c r="T26" s="458"/>
      <c r="U26" s="65">
        <f t="shared" si="56"/>
        <v>0</v>
      </c>
      <c r="V26" s="32">
        <f t="shared" si="57"/>
        <v>0.104</v>
      </c>
      <c r="W26" s="459"/>
      <c r="X26" s="33">
        <f t="shared" si="58"/>
        <v>0</v>
      </c>
      <c r="Y26" s="458" t="s">
        <v>163</v>
      </c>
      <c r="Z26" s="33">
        <f t="shared" si="59"/>
        <v>0</v>
      </c>
      <c r="AA26" s="33">
        <f t="shared" si="60"/>
        <v>0</v>
      </c>
      <c r="AB26" s="34">
        <f t="shared" si="61"/>
        <v>0</v>
      </c>
      <c r="AD26" s="39"/>
      <c r="AE26" s="36" t="str">
        <f t="shared" si="11"/>
        <v/>
      </c>
      <c r="AF26" s="458"/>
      <c r="AG26" s="275">
        <f t="shared" si="62"/>
        <v>0</v>
      </c>
      <c r="AH26" s="458"/>
      <c r="AI26" s="65">
        <f t="shared" si="63"/>
        <v>0</v>
      </c>
      <c r="AJ26" s="32">
        <f t="shared" si="64"/>
        <v>0.104</v>
      </c>
      <c r="AK26" s="459"/>
      <c r="AL26" s="33">
        <f t="shared" si="65"/>
        <v>0</v>
      </c>
      <c r="AM26" s="458" t="s">
        <v>163</v>
      </c>
      <c r="AN26" s="33">
        <f t="shared" si="66"/>
        <v>0</v>
      </c>
      <c r="AO26" s="33">
        <f t="shared" si="67"/>
        <v>0</v>
      </c>
      <c r="AP26" s="34">
        <f t="shared" si="68"/>
        <v>0</v>
      </c>
      <c r="AR26" s="39"/>
      <c r="AS26" s="36" t="str">
        <f t="shared" si="18"/>
        <v/>
      </c>
      <c r="AT26" s="458"/>
      <c r="AU26" s="275">
        <f t="shared" si="69"/>
        <v>0</v>
      </c>
      <c r="AV26" s="458"/>
      <c r="AW26" s="65">
        <f t="shared" si="70"/>
        <v>0</v>
      </c>
      <c r="AX26" s="32">
        <f t="shared" si="71"/>
        <v>0.104</v>
      </c>
      <c r="AY26" s="459"/>
      <c r="AZ26" s="33">
        <f t="shared" si="72"/>
        <v>0</v>
      </c>
      <c r="BA26" s="458" t="s">
        <v>163</v>
      </c>
      <c r="BB26" s="33">
        <f t="shared" si="73"/>
        <v>0</v>
      </c>
      <c r="BC26" s="33">
        <f t="shared" si="74"/>
        <v>0</v>
      </c>
      <c r="BD26" s="34">
        <f t="shared" si="75"/>
        <v>0</v>
      </c>
      <c r="BF26" s="39"/>
      <c r="BG26" s="36" t="str">
        <f t="shared" si="25"/>
        <v/>
      </c>
      <c r="BH26" s="458"/>
      <c r="BI26" s="275">
        <f t="shared" si="76"/>
        <v>0</v>
      </c>
      <c r="BJ26" s="458"/>
      <c r="BK26" s="65">
        <f t="shared" si="77"/>
        <v>0</v>
      </c>
      <c r="BL26" s="32">
        <f t="shared" si="78"/>
        <v>0.104</v>
      </c>
      <c r="BM26" s="459"/>
      <c r="BN26" s="33">
        <f t="shared" si="79"/>
        <v>0</v>
      </c>
      <c r="BO26" s="458" t="s">
        <v>163</v>
      </c>
      <c r="BP26" s="33">
        <f t="shared" si="80"/>
        <v>0</v>
      </c>
      <c r="BQ26" s="33">
        <f t="shared" si="81"/>
        <v>0</v>
      </c>
      <c r="BR26" s="34">
        <f t="shared" si="82"/>
        <v>0</v>
      </c>
      <c r="BT26" s="39"/>
      <c r="BU26" s="36" t="str">
        <f t="shared" si="32"/>
        <v/>
      </c>
      <c r="BV26" s="458"/>
      <c r="BW26" s="275">
        <f t="shared" si="83"/>
        <v>0</v>
      </c>
      <c r="BX26" s="458"/>
      <c r="BY26" s="65">
        <f t="shared" si="84"/>
        <v>0</v>
      </c>
      <c r="BZ26" s="32">
        <f t="shared" si="85"/>
        <v>0.104</v>
      </c>
      <c r="CA26" s="459"/>
      <c r="CB26" s="33">
        <f t="shared" si="86"/>
        <v>0</v>
      </c>
      <c r="CC26" s="458" t="s">
        <v>163</v>
      </c>
      <c r="CD26" s="33">
        <f t="shared" si="87"/>
        <v>0</v>
      </c>
      <c r="CE26" s="33">
        <f t="shared" si="88"/>
        <v>0</v>
      </c>
      <c r="CF26" s="34">
        <f t="shared" si="89"/>
        <v>0</v>
      </c>
    </row>
    <row r="27" spans="2:84" ht="18" customHeight="1" x14ac:dyDescent="0.35">
      <c r="C27" s="457"/>
      <c r="D27" s="458"/>
      <c r="E27" s="458"/>
      <c r="F27" s="458"/>
      <c r="G27" s="459"/>
      <c r="H27" s="32">
        <f t="shared" si="51"/>
        <v>0.104</v>
      </c>
      <c r="I27" s="459"/>
      <c r="J27" s="33">
        <f t="shared" si="52"/>
        <v>0</v>
      </c>
      <c r="K27" s="458" t="s">
        <v>163</v>
      </c>
      <c r="L27" s="33">
        <f t="shared" si="39"/>
        <v>0</v>
      </c>
      <c r="M27" s="33">
        <f t="shared" si="53"/>
        <v>0</v>
      </c>
      <c r="N27" s="34">
        <f t="shared" si="54"/>
        <v>0</v>
      </c>
      <c r="P27" s="39"/>
      <c r="Q27" s="36" t="str">
        <f t="shared" si="4"/>
        <v/>
      </c>
      <c r="R27" s="458"/>
      <c r="S27" s="275">
        <f t="shared" si="55"/>
        <v>0</v>
      </c>
      <c r="T27" s="458"/>
      <c r="U27" s="65">
        <f t="shared" si="56"/>
        <v>0</v>
      </c>
      <c r="V27" s="32">
        <f t="shared" si="57"/>
        <v>0.104</v>
      </c>
      <c r="W27" s="459"/>
      <c r="X27" s="33">
        <f t="shared" si="58"/>
        <v>0</v>
      </c>
      <c r="Y27" s="458" t="s">
        <v>163</v>
      </c>
      <c r="Z27" s="33">
        <f t="shared" si="59"/>
        <v>0</v>
      </c>
      <c r="AA27" s="33">
        <f t="shared" si="60"/>
        <v>0</v>
      </c>
      <c r="AB27" s="34">
        <f t="shared" si="61"/>
        <v>0</v>
      </c>
      <c r="AD27" s="39"/>
      <c r="AE27" s="36" t="str">
        <f t="shared" si="11"/>
        <v/>
      </c>
      <c r="AF27" s="458"/>
      <c r="AG27" s="275">
        <f t="shared" si="62"/>
        <v>0</v>
      </c>
      <c r="AH27" s="458"/>
      <c r="AI27" s="65">
        <f t="shared" si="63"/>
        <v>0</v>
      </c>
      <c r="AJ27" s="32">
        <f t="shared" si="64"/>
        <v>0.104</v>
      </c>
      <c r="AK27" s="459"/>
      <c r="AL27" s="33">
        <f t="shared" si="65"/>
        <v>0</v>
      </c>
      <c r="AM27" s="458" t="s">
        <v>163</v>
      </c>
      <c r="AN27" s="33">
        <f t="shared" si="66"/>
        <v>0</v>
      </c>
      <c r="AO27" s="33">
        <f t="shared" si="67"/>
        <v>0</v>
      </c>
      <c r="AP27" s="34">
        <f t="shared" si="68"/>
        <v>0</v>
      </c>
      <c r="AR27" s="39"/>
      <c r="AS27" s="36" t="str">
        <f t="shared" si="18"/>
        <v/>
      </c>
      <c r="AT27" s="458"/>
      <c r="AU27" s="275">
        <f t="shared" si="69"/>
        <v>0</v>
      </c>
      <c r="AV27" s="458"/>
      <c r="AW27" s="65">
        <f t="shared" si="70"/>
        <v>0</v>
      </c>
      <c r="AX27" s="32">
        <f t="shared" si="71"/>
        <v>0.104</v>
      </c>
      <c r="AY27" s="459"/>
      <c r="AZ27" s="33">
        <f t="shared" si="72"/>
        <v>0</v>
      </c>
      <c r="BA27" s="458" t="s">
        <v>163</v>
      </c>
      <c r="BB27" s="33">
        <f t="shared" si="73"/>
        <v>0</v>
      </c>
      <c r="BC27" s="33">
        <f t="shared" si="74"/>
        <v>0</v>
      </c>
      <c r="BD27" s="34">
        <f t="shared" si="75"/>
        <v>0</v>
      </c>
      <c r="BF27" s="39"/>
      <c r="BG27" s="36" t="str">
        <f t="shared" si="25"/>
        <v/>
      </c>
      <c r="BH27" s="458"/>
      <c r="BI27" s="275">
        <f t="shared" si="76"/>
        <v>0</v>
      </c>
      <c r="BJ27" s="458"/>
      <c r="BK27" s="65">
        <f t="shared" si="77"/>
        <v>0</v>
      </c>
      <c r="BL27" s="32">
        <f t="shared" si="78"/>
        <v>0.104</v>
      </c>
      <c r="BM27" s="459"/>
      <c r="BN27" s="33">
        <f t="shared" si="79"/>
        <v>0</v>
      </c>
      <c r="BO27" s="458" t="s">
        <v>163</v>
      </c>
      <c r="BP27" s="33">
        <f t="shared" si="80"/>
        <v>0</v>
      </c>
      <c r="BQ27" s="33">
        <f t="shared" si="81"/>
        <v>0</v>
      </c>
      <c r="BR27" s="34">
        <f t="shared" si="82"/>
        <v>0</v>
      </c>
      <c r="BT27" s="39"/>
      <c r="BU27" s="36" t="str">
        <f t="shared" si="32"/>
        <v/>
      </c>
      <c r="BV27" s="458"/>
      <c r="BW27" s="275">
        <f t="shared" si="83"/>
        <v>0</v>
      </c>
      <c r="BX27" s="458"/>
      <c r="BY27" s="65">
        <f t="shared" si="84"/>
        <v>0</v>
      </c>
      <c r="BZ27" s="32">
        <f t="shared" si="85"/>
        <v>0.104</v>
      </c>
      <c r="CA27" s="459"/>
      <c r="CB27" s="33">
        <f t="shared" si="86"/>
        <v>0</v>
      </c>
      <c r="CC27" s="458" t="s">
        <v>163</v>
      </c>
      <c r="CD27" s="33">
        <f t="shared" si="87"/>
        <v>0</v>
      </c>
      <c r="CE27" s="33">
        <f t="shared" si="88"/>
        <v>0</v>
      </c>
      <c r="CF27" s="34">
        <f t="shared" si="89"/>
        <v>0</v>
      </c>
    </row>
    <row r="28" spans="2:84" ht="18" customHeight="1" x14ac:dyDescent="0.35">
      <c r="C28" s="457"/>
      <c r="D28" s="458"/>
      <c r="E28" s="458"/>
      <c r="F28" s="458"/>
      <c r="G28" s="459"/>
      <c r="H28" s="32">
        <f t="shared" si="51"/>
        <v>0.104</v>
      </c>
      <c r="I28" s="459"/>
      <c r="J28" s="33">
        <f t="shared" si="52"/>
        <v>0</v>
      </c>
      <c r="K28" s="458" t="s">
        <v>163</v>
      </c>
      <c r="L28" s="33">
        <f t="shared" si="39"/>
        <v>0</v>
      </c>
      <c r="M28" s="33">
        <f t="shared" si="53"/>
        <v>0</v>
      </c>
      <c r="N28" s="34">
        <f t="shared" si="54"/>
        <v>0</v>
      </c>
      <c r="P28" s="39"/>
      <c r="Q28" s="36" t="str">
        <f t="shared" si="4"/>
        <v/>
      </c>
      <c r="R28" s="458"/>
      <c r="S28" s="275">
        <f t="shared" si="55"/>
        <v>0</v>
      </c>
      <c r="T28" s="458"/>
      <c r="U28" s="65">
        <f t="shared" si="56"/>
        <v>0</v>
      </c>
      <c r="V28" s="32">
        <f t="shared" si="57"/>
        <v>0.104</v>
      </c>
      <c r="W28" s="459"/>
      <c r="X28" s="33">
        <f t="shared" si="58"/>
        <v>0</v>
      </c>
      <c r="Y28" s="458" t="s">
        <v>163</v>
      </c>
      <c r="Z28" s="33">
        <f t="shared" si="59"/>
        <v>0</v>
      </c>
      <c r="AA28" s="33">
        <f t="shared" si="60"/>
        <v>0</v>
      </c>
      <c r="AB28" s="34">
        <f t="shared" si="61"/>
        <v>0</v>
      </c>
      <c r="AD28" s="39"/>
      <c r="AE28" s="36" t="str">
        <f t="shared" si="11"/>
        <v/>
      </c>
      <c r="AF28" s="458"/>
      <c r="AG28" s="275">
        <f t="shared" si="62"/>
        <v>0</v>
      </c>
      <c r="AH28" s="458"/>
      <c r="AI28" s="65">
        <f t="shared" si="63"/>
        <v>0</v>
      </c>
      <c r="AJ28" s="32">
        <f t="shared" si="64"/>
        <v>0.104</v>
      </c>
      <c r="AK28" s="459"/>
      <c r="AL28" s="33">
        <f t="shared" si="65"/>
        <v>0</v>
      </c>
      <c r="AM28" s="458" t="s">
        <v>163</v>
      </c>
      <c r="AN28" s="33">
        <f t="shared" si="66"/>
        <v>0</v>
      </c>
      <c r="AO28" s="33">
        <f t="shared" si="67"/>
        <v>0</v>
      </c>
      <c r="AP28" s="34">
        <f t="shared" si="68"/>
        <v>0</v>
      </c>
      <c r="AR28" s="39"/>
      <c r="AS28" s="36" t="str">
        <f t="shared" si="18"/>
        <v/>
      </c>
      <c r="AT28" s="458"/>
      <c r="AU28" s="275">
        <f t="shared" si="69"/>
        <v>0</v>
      </c>
      <c r="AV28" s="458"/>
      <c r="AW28" s="65">
        <f t="shared" si="70"/>
        <v>0</v>
      </c>
      <c r="AX28" s="32">
        <f t="shared" si="71"/>
        <v>0.104</v>
      </c>
      <c r="AY28" s="459"/>
      <c r="AZ28" s="33">
        <f t="shared" si="72"/>
        <v>0</v>
      </c>
      <c r="BA28" s="458" t="s">
        <v>163</v>
      </c>
      <c r="BB28" s="33">
        <f t="shared" si="73"/>
        <v>0</v>
      </c>
      <c r="BC28" s="33">
        <f t="shared" si="74"/>
        <v>0</v>
      </c>
      <c r="BD28" s="34">
        <f t="shared" si="75"/>
        <v>0</v>
      </c>
      <c r="BF28" s="39"/>
      <c r="BG28" s="36" t="str">
        <f t="shared" si="25"/>
        <v/>
      </c>
      <c r="BH28" s="458"/>
      <c r="BI28" s="275">
        <f t="shared" si="76"/>
        <v>0</v>
      </c>
      <c r="BJ28" s="458"/>
      <c r="BK28" s="65">
        <f t="shared" si="77"/>
        <v>0</v>
      </c>
      <c r="BL28" s="32">
        <f t="shared" si="78"/>
        <v>0.104</v>
      </c>
      <c r="BM28" s="459"/>
      <c r="BN28" s="33">
        <f t="shared" si="79"/>
        <v>0</v>
      </c>
      <c r="BO28" s="458" t="s">
        <v>163</v>
      </c>
      <c r="BP28" s="33">
        <f t="shared" si="80"/>
        <v>0</v>
      </c>
      <c r="BQ28" s="33">
        <f t="shared" si="81"/>
        <v>0</v>
      </c>
      <c r="BR28" s="34">
        <f t="shared" si="82"/>
        <v>0</v>
      </c>
      <c r="BT28" s="39"/>
      <c r="BU28" s="36" t="str">
        <f t="shared" si="32"/>
        <v/>
      </c>
      <c r="BV28" s="458"/>
      <c r="BW28" s="275">
        <f t="shared" si="83"/>
        <v>0</v>
      </c>
      <c r="BX28" s="458"/>
      <c r="BY28" s="65">
        <f t="shared" si="84"/>
        <v>0</v>
      </c>
      <c r="BZ28" s="32">
        <f t="shared" si="85"/>
        <v>0.104</v>
      </c>
      <c r="CA28" s="459"/>
      <c r="CB28" s="33">
        <f t="shared" si="86"/>
        <v>0</v>
      </c>
      <c r="CC28" s="458" t="s">
        <v>163</v>
      </c>
      <c r="CD28" s="33">
        <f t="shared" si="87"/>
        <v>0</v>
      </c>
      <c r="CE28" s="33">
        <f t="shared" si="88"/>
        <v>0</v>
      </c>
      <c r="CF28" s="34">
        <f t="shared" si="89"/>
        <v>0</v>
      </c>
    </row>
    <row r="29" spans="2:84" ht="18" customHeight="1" x14ac:dyDescent="0.35">
      <c r="C29" s="457"/>
      <c r="D29" s="458"/>
      <c r="E29" s="458"/>
      <c r="F29" s="458"/>
      <c r="G29" s="459"/>
      <c r="H29" s="32">
        <f t="shared" si="51"/>
        <v>0.104</v>
      </c>
      <c r="I29" s="459"/>
      <c r="J29" s="33">
        <f t="shared" si="52"/>
        <v>0</v>
      </c>
      <c r="K29" s="458" t="s">
        <v>163</v>
      </c>
      <c r="L29" s="33">
        <f t="shared" si="39"/>
        <v>0</v>
      </c>
      <c r="M29" s="33">
        <f t="shared" si="53"/>
        <v>0</v>
      </c>
      <c r="N29" s="34">
        <f t="shared" si="54"/>
        <v>0</v>
      </c>
      <c r="P29" s="39"/>
      <c r="Q29" s="36" t="str">
        <f t="shared" si="4"/>
        <v/>
      </c>
      <c r="R29" s="458"/>
      <c r="S29" s="275">
        <f t="shared" si="55"/>
        <v>0</v>
      </c>
      <c r="T29" s="458"/>
      <c r="U29" s="65">
        <f t="shared" si="56"/>
        <v>0</v>
      </c>
      <c r="V29" s="32">
        <f t="shared" si="57"/>
        <v>0.104</v>
      </c>
      <c r="W29" s="459"/>
      <c r="X29" s="33">
        <f t="shared" si="58"/>
        <v>0</v>
      </c>
      <c r="Y29" s="458" t="s">
        <v>163</v>
      </c>
      <c r="Z29" s="33">
        <f t="shared" si="59"/>
        <v>0</v>
      </c>
      <c r="AA29" s="33">
        <f t="shared" si="60"/>
        <v>0</v>
      </c>
      <c r="AB29" s="34">
        <f t="shared" si="61"/>
        <v>0</v>
      </c>
      <c r="AD29" s="39"/>
      <c r="AE29" s="36" t="str">
        <f t="shared" si="11"/>
        <v/>
      </c>
      <c r="AF29" s="458"/>
      <c r="AG29" s="275">
        <f t="shared" si="62"/>
        <v>0</v>
      </c>
      <c r="AH29" s="458"/>
      <c r="AI29" s="65">
        <f t="shared" si="63"/>
        <v>0</v>
      </c>
      <c r="AJ29" s="32">
        <f t="shared" si="64"/>
        <v>0.104</v>
      </c>
      <c r="AK29" s="459"/>
      <c r="AL29" s="33">
        <f t="shared" si="65"/>
        <v>0</v>
      </c>
      <c r="AM29" s="458" t="s">
        <v>163</v>
      </c>
      <c r="AN29" s="33">
        <f t="shared" si="66"/>
        <v>0</v>
      </c>
      <c r="AO29" s="33">
        <f t="shared" si="67"/>
        <v>0</v>
      </c>
      <c r="AP29" s="34">
        <f t="shared" si="68"/>
        <v>0</v>
      </c>
      <c r="AR29" s="39"/>
      <c r="AS29" s="36" t="str">
        <f t="shared" si="18"/>
        <v/>
      </c>
      <c r="AT29" s="458"/>
      <c r="AU29" s="275">
        <f t="shared" si="69"/>
        <v>0</v>
      </c>
      <c r="AV29" s="458"/>
      <c r="AW29" s="65">
        <f t="shared" si="70"/>
        <v>0</v>
      </c>
      <c r="AX29" s="32">
        <f t="shared" si="71"/>
        <v>0.104</v>
      </c>
      <c r="AY29" s="459"/>
      <c r="AZ29" s="33">
        <f t="shared" si="72"/>
        <v>0</v>
      </c>
      <c r="BA29" s="458" t="s">
        <v>163</v>
      </c>
      <c r="BB29" s="33">
        <f t="shared" si="73"/>
        <v>0</v>
      </c>
      <c r="BC29" s="33">
        <f t="shared" si="74"/>
        <v>0</v>
      </c>
      <c r="BD29" s="34">
        <f t="shared" si="75"/>
        <v>0</v>
      </c>
      <c r="BF29" s="39"/>
      <c r="BG29" s="36" t="str">
        <f t="shared" si="25"/>
        <v/>
      </c>
      <c r="BH29" s="458"/>
      <c r="BI29" s="275">
        <f t="shared" si="76"/>
        <v>0</v>
      </c>
      <c r="BJ29" s="458"/>
      <c r="BK29" s="65">
        <f t="shared" si="77"/>
        <v>0</v>
      </c>
      <c r="BL29" s="32">
        <f t="shared" si="78"/>
        <v>0.104</v>
      </c>
      <c r="BM29" s="459"/>
      <c r="BN29" s="33">
        <f t="shared" si="79"/>
        <v>0</v>
      </c>
      <c r="BO29" s="458" t="s">
        <v>163</v>
      </c>
      <c r="BP29" s="33">
        <f t="shared" si="80"/>
        <v>0</v>
      </c>
      <c r="BQ29" s="33">
        <f t="shared" si="81"/>
        <v>0</v>
      </c>
      <c r="BR29" s="34">
        <f t="shared" si="82"/>
        <v>0</v>
      </c>
      <c r="BT29" s="39"/>
      <c r="BU29" s="36" t="str">
        <f t="shared" si="32"/>
        <v/>
      </c>
      <c r="BV29" s="458"/>
      <c r="BW29" s="275">
        <f t="shared" si="83"/>
        <v>0</v>
      </c>
      <c r="BX29" s="458"/>
      <c r="BY29" s="65">
        <f t="shared" si="84"/>
        <v>0</v>
      </c>
      <c r="BZ29" s="32">
        <f t="shared" si="85"/>
        <v>0.104</v>
      </c>
      <c r="CA29" s="459"/>
      <c r="CB29" s="33">
        <f t="shared" si="86"/>
        <v>0</v>
      </c>
      <c r="CC29" s="458" t="s">
        <v>163</v>
      </c>
      <c r="CD29" s="33">
        <f t="shared" si="87"/>
        <v>0</v>
      </c>
      <c r="CE29" s="33">
        <f t="shared" si="88"/>
        <v>0</v>
      </c>
      <c r="CF29" s="34">
        <f t="shared" si="89"/>
        <v>0</v>
      </c>
    </row>
    <row r="30" spans="2:84" ht="18" customHeight="1" x14ac:dyDescent="0.35">
      <c r="C30" s="457"/>
      <c r="D30" s="458"/>
      <c r="E30" s="458"/>
      <c r="F30" s="458"/>
      <c r="G30" s="459"/>
      <c r="H30" s="32">
        <f t="shared" si="51"/>
        <v>0.104</v>
      </c>
      <c r="I30" s="459"/>
      <c r="J30" s="33">
        <f t="shared" si="52"/>
        <v>0</v>
      </c>
      <c r="K30" s="458" t="s">
        <v>163</v>
      </c>
      <c r="L30" s="33">
        <f t="shared" si="39"/>
        <v>0</v>
      </c>
      <c r="M30" s="33">
        <f t="shared" si="53"/>
        <v>0</v>
      </c>
      <c r="N30" s="34">
        <f t="shared" si="54"/>
        <v>0</v>
      </c>
      <c r="P30" s="39"/>
      <c r="Q30" s="36" t="str">
        <f t="shared" si="4"/>
        <v/>
      </c>
      <c r="R30" s="458"/>
      <c r="S30" s="275">
        <f t="shared" si="55"/>
        <v>0</v>
      </c>
      <c r="T30" s="458"/>
      <c r="U30" s="65">
        <f t="shared" si="56"/>
        <v>0</v>
      </c>
      <c r="V30" s="32">
        <f t="shared" si="57"/>
        <v>0.104</v>
      </c>
      <c r="W30" s="459"/>
      <c r="X30" s="33">
        <f t="shared" si="58"/>
        <v>0</v>
      </c>
      <c r="Y30" s="458" t="s">
        <v>163</v>
      </c>
      <c r="Z30" s="33">
        <f t="shared" si="59"/>
        <v>0</v>
      </c>
      <c r="AA30" s="33">
        <f t="shared" si="60"/>
        <v>0</v>
      </c>
      <c r="AB30" s="34">
        <f t="shared" si="61"/>
        <v>0</v>
      </c>
      <c r="AD30" s="39"/>
      <c r="AE30" s="36" t="str">
        <f t="shared" si="11"/>
        <v/>
      </c>
      <c r="AF30" s="458"/>
      <c r="AG30" s="275">
        <f t="shared" si="62"/>
        <v>0</v>
      </c>
      <c r="AH30" s="458"/>
      <c r="AI30" s="65">
        <f t="shared" si="63"/>
        <v>0</v>
      </c>
      <c r="AJ30" s="32">
        <f t="shared" si="64"/>
        <v>0.104</v>
      </c>
      <c r="AK30" s="459"/>
      <c r="AL30" s="33">
        <f t="shared" si="65"/>
        <v>0</v>
      </c>
      <c r="AM30" s="458" t="s">
        <v>163</v>
      </c>
      <c r="AN30" s="33">
        <f t="shared" si="66"/>
        <v>0</v>
      </c>
      <c r="AO30" s="33">
        <f t="shared" si="67"/>
        <v>0</v>
      </c>
      <c r="AP30" s="34">
        <f t="shared" si="68"/>
        <v>0</v>
      </c>
      <c r="AR30" s="39"/>
      <c r="AS30" s="36" t="str">
        <f t="shared" si="18"/>
        <v/>
      </c>
      <c r="AT30" s="458"/>
      <c r="AU30" s="275">
        <f t="shared" si="69"/>
        <v>0</v>
      </c>
      <c r="AV30" s="458"/>
      <c r="AW30" s="65">
        <f t="shared" si="70"/>
        <v>0</v>
      </c>
      <c r="AX30" s="32">
        <f t="shared" si="71"/>
        <v>0.104</v>
      </c>
      <c r="AY30" s="459"/>
      <c r="AZ30" s="33">
        <f t="shared" si="72"/>
        <v>0</v>
      </c>
      <c r="BA30" s="458" t="s">
        <v>163</v>
      </c>
      <c r="BB30" s="33">
        <f t="shared" si="73"/>
        <v>0</v>
      </c>
      <c r="BC30" s="33">
        <f t="shared" si="74"/>
        <v>0</v>
      </c>
      <c r="BD30" s="34">
        <f t="shared" si="75"/>
        <v>0</v>
      </c>
      <c r="BF30" s="39"/>
      <c r="BG30" s="36" t="str">
        <f t="shared" si="25"/>
        <v/>
      </c>
      <c r="BH30" s="458"/>
      <c r="BI30" s="275">
        <f t="shared" si="76"/>
        <v>0</v>
      </c>
      <c r="BJ30" s="458"/>
      <c r="BK30" s="65">
        <f t="shared" si="77"/>
        <v>0</v>
      </c>
      <c r="BL30" s="32">
        <f t="shared" si="78"/>
        <v>0.104</v>
      </c>
      <c r="BM30" s="459"/>
      <c r="BN30" s="33">
        <f t="shared" si="79"/>
        <v>0</v>
      </c>
      <c r="BO30" s="458" t="s">
        <v>163</v>
      </c>
      <c r="BP30" s="33">
        <f t="shared" si="80"/>
        <v>0</v>
      </c>
      <c r="BQ30" s="33">
        <f t="shared" si="81"/>
        <v>0</v>
      </c>
      <c r="BR30" s="34">
        <f t="shared" si="82"/>
        <v>0</v>
      </c>
      <c r="BT30" s="39"/>
      <c r="BU30" s="36" t="str">
        <f t="shared" si="32"/>
        <v/>
      </c>
      <c r="BV30" s="458"/>
      <c r="BW30" s="275">
        <f t="shared" si="83"/>
        <v>0</v>
      </c>
      <c r="BX30" s="458"/>
      <c r="BY30" s="65">
        <f t="shared" si="84"/>
        <v>0</v>
      </c>
      <c r="BZ30" s="32">
        <f t="shared" si="85"/>
        <v>0.104</v>
      </c>
      <c r="CA30" s="459"/>
      <c r="CB30" s="33">
        <f t="shared" si="86"/>
        <v>0</v>
      </c>
      <c r="CC30" s="458" t="s">
        <v>163</v>
      </c>
      <c r="CD30" s="33">
        <f t="shared" si="87"/>
        <v>0</v>
      </c>
      <c r="CE30" s="33">
        <f t="shared" si="88"/>
        <v>0</v>
      </c>
      <c r="CF30" s="34">
        <f t="shared" si="89"/>
        <v>0</v>
      </c>
    </row>
    <row r="31" spans="2:84" ht="18" customHeight="1" x14ac:dyDescent="0.35">
      <c r="C31" s="457"/>
      <c r="D31" s="458"/>
      <c r="E31" s="458"/>
      <c r="F31" s="458"/>
      <c r="G31" s="459"/>
      <c r="H31" s="32">
        <f t="shared" si="51"/>
        <v>0.104</v>
      </c>
      <c r="I31" s="459"/>
      <c r="J31" s="33">
        <f t="shared" si="52"/>
        <v>0</v>
      </c>
      <c r="K31" s="458" t="s">
        <v>163</v>
      </c>
      <c r="L31" s="33">
        <f t="shared" si="39"/>
        <v>0</v>
      </c>
      <c r="M31" s="33">
        <f t="shared" si="53"/>
        <v>0</v>
      </c>
      <c r="N31" s="34">
        <f t="shared" si="54"/>
        <v>0</v>
      </c>
      <c r="P31" s="39"/>
      <c r="Q31" s="36" t="str">
        <f t="shared" si="4"/>
        <v/>
      </c>
      <c r="R31" s="458"/>
      <c r="S31" s="275">
        <f t="shared" si="55"/>
        <v>0</v>
      </c>
      <c r="T31" s="458"/>
      <c r="U31" s="65">
        <f t="shared" si="56"/>
        <v>0</v>
      </c>
      <c r="V31" s="32">
        <f t="shared" si="57"/>
        <v>0.104</v>
      </c>
      <c r="W31" s="459"/>
      <c r="X31" s="33">
        <f t="shared" si="58"/>
        <v>0</v>
      </c>
      <c r="Y31" s="458" t="s">
        <v>163</v>
      </c>
      <c r="Z31" s="33">
        <f t="shared" si="59"/>
        <v>0</v>
      </c>
      <c r="AA31" s="33">
        <f t="shared" si="60"/>
        <v>0</v>
      </c>
      <c r="AB31" s="34">
        <f t="shared" si="61"/>
        <v>0</v>
      </c>
      <c r="AD31" s="39"/>
      <c r="AE31" s="36" t="str">
        <f t="shared" si="11"/>
        <v/>
      </c>
      <c r="AF31" s="458"/>
      <c r="AG31" s="275">
        <f t="shared" si="62"/>
        <v>0</v>
      </c>
      <c r="AH31" s="458"/>
      <c r="AI31" s="65">
        <f t="shared" si="63"/>
        <v>0</v>
      </c>
      <c r="AJ31" s="32">
        <f t="shared" si="64"/>
        <v>0.104</v>
      </c>
      <c r="AK31" s="459"/>
      <c r="AL31" s="33">
        <f t="shared" si="65"/>
        <v>0</v>
      </c>
      <c r="AM31" s="458" t="s">
        <v>163</v>
      </c>
      <c r="AN31" s="33">
        <f t="shared" si="66"/>
        <v>0</v>
      </c>
      <c r="AO31" s="33">
        <f t="shared" si="67"/>
        <v>0</v>
      </c>
      <c r="AP31" s="34">
        <f t="shared" si="68"/>
        <v>0</v>
      </c>
      <c r="AR31" s="39"/>
      <c r="AS31" s="36" t="str">
        <f t="shared" si="18"/>
        <v/>
      </c>
      <c r="AT31" s="458"/>
      <c r="AU31" s="275">
        <f t="shared" si="69"/>
        <v>0</v>
      </c>
      <c r="AV31" s="458"/>
      <c r="AW31" s="65">
        <f t="shared" si="70"/>
        <v>0</v>
      </c>
      <c r="AX31" s="32">
        <f t="shared" si="71"/>
        <v>0.104</v>
      </c>
      <c r="AY31" s="459"/>
      <c r="AZ31" s="33">
        <f t="shared" si="72"/>
        <v>0</v>
      </c>
      <c r="BA31" s="458" t="s">
        <v>163</v>
      </c>
      <c r="BB31" s="33">
        <f t="shared" si="73"/>
        <v>0</v>
      </c>
      <c r="BC31" s="33">
        <f t="shared" si="74"/>
        <v>0</v>
      </c>
      <c r="BD31" s="34">
        <f t="shared" si="75"/>
        <v>0</v>
      </c>
      <c r="BF31" s="39"/>
      <c r="BG31" s="36" t="str">
        <f t="shared" si="25"/>
        <v/>
      </c>
      <c r="BH31" s="458"/>
      <c r="BI31" s="275">
        <f t="shared" si="76"/>
        <v>0</v>
      </c>
      <c r="BJ31" s="458"/>
      <c r="BK31" s="65">
        <f t="shared" si="77"/>
        <v>0</v>
      </c>
      <c r="BL31" s="32">
        <f t="shared" si="78"/>
        <v>0.104</v>
      </c>
      <c r="BM31" s="459"/>
      <c r="BN31" s="33">
        <f t="shared" si="79"/>
        <v>0</v>
      </c>
      <c r="BO31" s="458" t="s">
        <v>163</v>
      </c>
      <c r="BP31" s="33">
        <f t="shared" si="80"/>
        <v>0</v>
      </c>
      <c r="BQ31" s="33">
        <f t="shared" si="81"/>
        <v>0</v>
      </c>
      <c r="BR31" s="34">
        <f t="shared" si="82"/>
        <v>0</v>
      </c>
      <c r="BT31" s="39"/>
      <c r="BU31" s="36" t="str">
        <f t="shared" si="32"/>
        <v/>
      </c>
      <c r="BV31" s="458"/>
      <c r="BW31" s="275">
        <f t="shared" si="83"/>
        <v>0</v>
      </c>
      <c r="BX31" s="458"/>
      <c r="BY31" s="65">
        <f t="shared" si="84"/>
        <v>0</v>
      </c>
      <c r="BZ31" s="32">
        <f t="shared" si="85"/>
        <v>0.104</v>
      </c>
      <c r="CA31" s="459"/>
      <c r="CB31" s="33">
        <f t="shared" si="86"/>
        <v>0</v>
      </c>
      <c r="CC31" s="458" t="s">
        <v>163</v>
      </c>
      <c r="CD31" s="33">
        <f t="shared" si="87"/>
        <v>0</v>
      </c>
      <c r="CE31" s="33">
        <f t="shared" si="88"/>
        <v>0</v>
      </c>
      <c r="CF31" s="34">
        <f t="shared" si="89"/>
        <v>0</v>
      </c>
    </row>
    <row r="32" spans="2:84" ht="18" customHeight="1" x14ac:dyDescent="0.35">
      <c r="C32" s="457"/>
      <c r="D32" s="458"/>
      <c r="E32" s="458"/>
      <c r="F32" s="458"/>
      <c r="G32" s="459"/>
      <c r="H32" s="32">
        <f t="shared" si="51"/>
        <v>0.104</v>
      </c>
      <c r="I32" s="459"/>
      <c r="J32" s="33">
        <f t="shared" si="52"/>
        <v>0</v>
      </c>
      <c r="K32" s="458" t="s">
        <v>163</v>
      </c>
      <c r="L32" s="33">
        <f t="shared" si="39"/>
        <v>0</v>
      </c>
      <c r="M32" s="33">
        <f t="shared" si="53"/>
        <v>0</v>
      </c>
      <c r="N32" s="34">
        <f t="shared" si="54"/>
        <v>0</v>
      </c>
      <c r="P32" s="39"/>
      <c r="Q32" s="36" t="str">
        <f t="shared" si="4"/>
        <v/>
      </c>
      <c r="R32" s="458"/>
      <c r="S32" s="275">
        <f t="shared" si="55"/>
        <v>0</v>
      </c>
      <c r="T32" s="458"/>
      <c r="U32" s="65">
        <f t="shared" si="56"/>
        <v>0</v>
      </c>
      <c r="V32" s="32">
        <f t="shared" si="57"/>
        <v>0.104</v>
      </c>
      <c r="W32" s="459"/>
      <c r="X32" s="33">
        <f t="shared" si="58"/>
        <v>0</v>
      </c>
      <c r="Y32" s="458" t="s">
        <v>163</v>
      </c>
      <c r="Z32" s="33">
        <f t="shared" si="59"/>
        <v>0</v>
      </c>
      <c r="AA32" s="33">
        <f t="shared" si="60"/>
        <v>0</v>
      </c>
      <c r="AB32" s="34">
        <f t="shared" si="61"/>
        <v>0</v>
      </c>
      <c r="AD32" s="39"/>
      <c r="AE32" s="36" t="str">
        <f t="shared" si="11"/>
        <v/>
      </c>
      <c r="AF32" s="458"/>
      <c r="AG32" s="275">
        <f t="shared" si="62"/>
        <v>0</v>
      </c>
      <c r="AH32" s="458"/>
      <c r="AI32" s="65">
        <f t="shared" si="63"/>
        <v>0</v>
      </c>
      <c r="AJ32" s="32">
        <f t="shared" si="64"/>
        <v>0.104</v>
      </c>
      <c r="AK32" s="459"/>
      <c r="AL32" s="33">
        <f t="shared" si="65"/>
        <v>0</v>
      </c>
      <c r="AM32" s="458" t="s">
        <v>163</v>
      </c>
      <c r="AN32" s="33">
        <f t="shared" si="66"/>
        <v>0</v>
      </c>
      <c r="AO32" s="33">
        <f t="shared" si="67"/>
        <v>0</v>
      </c>
      <c r="AP32" s="34">
        <f t="shared" si="68"/>
        <v>0</v>
      </c>
      <c r="AR32" s="39"/>
      <c r="AS32" s="36" t="str">
        <f t="shared" si="18"/>
        <v/>
      </c>
      <c r="AT32" s="458"/>
      <c r="AU32" s="275">
        <f t="shared" si="69"/>
        <v>0</v>
      </c>
      <c r="AV32" s="458"/>
      <c r="AW32" s="65">
        <f t="shared" si="70"/>
        <v>0</v>
      </c>
      <c r="AX32" s="32">
        <f t="shared" si="71"/>
        <v>0.104</v>
      </c>
      <c r="AY32" s="459"/>
      <c r="AZ32" s="33">
        <f t="shared" si="72"/>
        <v>0</v>
      </c>
      <c r="BA32" s="458" t="s">
        <v>163</v>
      </c>
      <c r="BB32" s="33">
        <f t="shared" si="73"/>
        <v>0</v>
      </c>
      <c r="BC32" s="33">
        <f t="shared" si="74"/>
        <v>0</v>
      </c>
      <c r="BD32" s="34">
        <f t="shared" si="75"/>
        <v>0</v>
      </c>
      <c r="BF32" s="39"/>
      <c r="BG32" s="36" t="str">
        <f t="shared" si="25"/>
        <v/>
      </c>
      <c r="BH32" s="458"/>
      <c r="BI32" s="275">
        <f t="shared" si="76"/>
        <v>0</v>
      </c>
      <c r="BJ32" s="458"/>
      <c r="BK32" s="65">
        <f t="shared" si="77"/>
        <v>0</v>
      </c>
      <c r="BL32" s="32">
        <f t="shared" si="78"/>
        <v>0.104</v>
      </c>
      <c r="BM32" s="459"/>
      <c r="BN32" s="33">
        <f t="shared" si="79"/>
        <v>0</v>
      </c>
      <c r="BO32" s="458" t="s">
        <v>163</v>
      </c>
      <c r="BP32" s="33">
        <f t="shared" si="80"/>
        <v>0</v>
      </c>
      <c r="BQ32" s="33">
        <f t="shared" si="81"/>
        <v>0</v>
      </c>
      <c r="BR32" s="34">
        <f t="shared" si="82"/>
        <v>0</v>
      </c>
      <c r="BT32" s="39"/>
      <c r="BU32" s="36" t="str">
        <f t="shared" si="32"/>
        <v/>
      </c>
      <c r="BV32" s="458"/>
      <c r="BW32" s="275">
        <f t="shared" si="83"/>
        <v>0</v>
      </c>
      <c r="BX32" s="458"/>
      <c r="BY32" s="65">
        <f t="shared" si="84"/>
        <v>0</v>
      </c>
      <c r="BZ32" s="32">
        <f t="shared" si="85"/>
        <v>0.104</v>
      </c>
      <c r="CA32" s="459"/>
      <c r="CB32" s="33">
        <f t="shared" si="86"/>
        <v>0</v>
      </c>
      <c r="CC32" s="458" t="s">
        <v>163</v>
      </c>
      <c r="CD32" s="33">
        <f t="shared" si="87"/>
        <v>0</v>
      </c>
      <c r="CE32" s="33">
        <f t="shared" si="88"/>
        <v>0</v>
      </c>
      <c r="CF32" s="34">
        <f t="shared" si="89"/>
        <v>0</v>
      </c>
    </row>
    <row r="33" spans="3:84" ht="18" hidden="1" customHeight="1" x14ac:dyDescent="0.35">
      <c r="C33" s="457"/>
      <c r="D33" s="458"/>
      <c r="E33" s="458"/>
      <c r="F33" s="458"/>
      <c r="G33" s="459"/>
      <c r="H33" s="32">
        <f t="shared" si="51"/>
        <v>0.104</v>
      </c>
      <c r="I33" s="459"/>
      <c r="J33" s="33">
        <f t="shared" si="52"/>
        <v>0</v>
      </c>
      <c r="K33" s="458" t="s">
        <v>163</v>
      </c>
      <c r="L33" s="33">
        <f t="shared" si="39"/>
        <v>0</v>
      </c>
      <c r="M33" s="33">
        <f t="shared" si="53"/>
        <v>0</v>
      </c>
      <c r="N33" s="34">
        <f t="shared" si="54"/>
        <v>0</v>
      </c>
      <c r="P33" s="39"/>
      <c r="Q33" s="36" t="str">
        <f t="shared" si="4"/>
        <v/>
      </c>
      <c r="R33" s="458"/>
      <c r="S33" s="275">
        <f t="shared" si="55"/>
        <v>0</v>
      </c>
      <c r="T33" s="458"/>
      <c r="U33" s="65">
        <f t="shared" si="56"/>
        <v>0</v>
      </c>
      <c r="V33" s="32">
        <f t="shared" si="57"/>
        <v>0.104</v>
      </c>
      <c r="W33" s="459"/>
      <c r="X33" s="33">
        <f t="shared" si="58"/>
        <v>0</v>
      </c>
      <c r="Y33" s="458" t="s">
        <v>163</v>
      </c>
      <c r="Z33" s="33">
        <f t="shared" si="59"/>
        <v>0</v>
      </c>
      <c r="AA33" s="33">
        <f t="shared" si="60"/>
        <v>0</v>
      </c>
      <c r="AB33" s="34">
        <f t="shared" si="61"/>
        <v>0</v>
      </c>
      <c r="AD33" s="39"/>
      <c r="AE33" s="36" t="str">
        <f t="shared" si="11"/>
        <v/>
      </c>
      <c r="AF33" s="458"/>
      <c r="AG33" s="275">
        <f t="shared" si="62"/>
        <v>0</v>
      </c>
      <c r="AH33" s="458"/>
      <c r="AI33" s="65">
        <f t="shared" si="63"/>
        <v>0</v>
      </c>
      <c r="AJ33" s="32">
        <f t="shared" si="64"/>
        <v>0.104</v>
      </c>
      <c r="AK33" s="459"/>
      <c r="AL33" s="33">
        <f t="shared" si="65"/>
        <v>0</v>
      </c>
      <c r="AM33" s="458" t="s">
        <v>163</v>
      </c>
      <c r="AN33" s="33">
        <f t="shared" si="66"/>
        <v>0</v>
      </c>
      <c r="AO33" s="33">
        <f t="shared" si="67"/>
        <v>0</v>
      </c>
      <c r="AP33" s="34">
        <f t="shared" si="68"/>
        <v>0</v>
      </c>
      <c r="AR33" s="39"/>
      <c r="AS33" s="36" t="str">
        <f t="shared" si="18"/>
        <v/>
      </c>
      <c r="AT33" s="458"/>
      <c r="AU33" s="275">
        <f t="shared" si="69"/>
        <v>0</v>
      </c>
      <c r="AV33" s="458"/>
      <c r="AW33" s="65">
        <f t="shared" si="70"/>
        <v>0</v>
      </c>
      <c r="AX33" s="32">
        <f t="shared" si="71"/>
        <v>0.104</v>
      </c>
      <c r="AY33" s="459"/>
      <c r="AZ33" s="33">
        <f t="shared" si="72"/>
        <v>0</v>
      </c>
      <c r="BA33" s="458" t="s">
        <v>163</v>
      </c>
      <c r="BB33" s="33">
        <f t="shared" si="73"/>
        <v>0</v>
      </c>
      <c r="BC33" s="33">
        <f t="shared" si="74"/>
        <v>0</v>
      </c>
      <c r="BD33" s="34">
        <f t="shared" si="75"/>
        <v>0</v>
      </c>
      <c r="BF33" s="39"/>
      <c r="BG33" s="36" t="str">
        <f t="shared" si="25"/>
        <v/>
      </c>
      <c r="BH33" s="458"/>
      <c r="BI33" s="275">
        <f t="shared" si="76"/>
        <v>0</v>
      </c>
      <c r="BJ33" s="458"/>
      <c r="BK33" s="65">
        <f t="shared" si="77"/>
        <v>0</v>
      </c>
      <c r="BL33" s="32">
        <f t="shared" si="78"/>
        <v>0.104</v>
      </c>
      <c r="BM33" s="459"/>
      <c r="BN33" s="33">
        <f t="shared" si="79"/>
        <v>0</v>
      </c>
      <c r="BO33" s="458" t="s">
        <v>163</v>
      </c>
      <c r="BP33" s="33">
        <f t="shared" si="80"/>
        <v>0</v>
      </c>
      <c r="BQ33" s="33">
        <f t="shared" si="81"/>
        <v>0</v>
      </c>
      <c r="BR33" s="34">
        <f t="shared" si="82"/>
        <v>0</v>
      </c>
      <c r="BT33" s="39"/>
      <c r="BU33" s="36" t="str">
        <f t="shared" si="32"/>
        <v/>
      </c>
      <c r="BV33" s="458"/>
      <c r="BW33" s="275">
        <f t="shared" si="83"/>
        <v>0</v>
      </c>
      <c r="BX33" s="458"/>
      <c r="BY33" s="65">
        <f t="shared" si="84"/>
        <v>0</v>
      </c>
      <c r="BZ33" s="32">
        <f t="shared" si="85"/>
        <v>0.104</v>
      </c>
      <c r="CA33" s="459"/>
      <c r="CB33" s="33">
        <f t="shared" si="86"/>
        <v>0</v>
      </c>
      <c r="CC33" s="458" t="s">
        <v>163</v>
      </c>
      <c r="CD33" s="33">
        <f t="shared" si="87"/>
        <v>0</v>
      </c>
      <c r="CE33" s="33">
        <f t="shared" si="88"/>
        <v>0</v>
      </c>
      <c r="CF33" s="34">
        <f t="shared" si="89"/>
        <v>0</v>
      </c>
    </row>
    <row r="34" spans="3:84" ht="18" hidden="1" customHeight="1" x14ac:dyDescent="0.35">
      <c r="C34" s="457"/>
      <c r="D34" s="458"/>
      <c r="E34" s="458"/>
      <c r="F34" s="458"/>
      <c r="G34" s="459"/>
      <c r="H34" s="32">
        <f t="shared" si="51"/>
        <v>0.104</v>
      </c>
      <c r="I34" s="459"/>
      <c r="J34" s="33">
        <f t="shared" si="52"/>
        <v>0</v>
      </c>
      <c r="K34" s="458" t="s">
        <v>163</v>
      </c>
      <c r="L34" s="33">
        <f t="shared" si="39"/>
        <v>0</v>
      </c>
      <c r="M34" s="33">
        <f t="shared" si="53"/>
        <v>0</v>
      </c>
      <c r="N34" s="34">
        <f t="shared" si="54"/>
        <v>0</v>
      </c>
      <c r="P34" s="39"/>
      <c r="Q34" s="36" t="str">
        <f t="shared" si="4"/>
        <v/>
      </c>
      <c r="R34" s="458"/>
      <c r="S34" s="275">
        <f t="shared" si="55"/>
        <v>0</v>
      </c>
      <c r="T34" s="458"/>
      <c r="U34" s="65">
        <f t="shared" si="56"/>
        <v>0</v>
      </c>
      <c r="V34" s="32">
        <f t="shared" si="57"/>
        <v>0.104</v>
      </c>
      <c r="W34" s="459"/>
      <c r="X34" s="33">
        <f t="shared" si="58"/>
        <v>0</v>
      </c>
      <c r="Y34" s="458" t="s">
        <v>163</v>
      </c>
      <c r="Z34" s="33">
        <f t="shared" si="59"/>
        <v>0</v>
      </c>
      <c r="AA34" s="33">
        <f t="shared" si="60"/>
        <v>0</v>
      </c>
      <c r="AB34" s="34">
        <f t="shared" si="61"/>
        <v>0</v>
      </c>
      <c r="AD34" s="39"/>
      <c r="AE34" s="36" t="str">
        <f t="shared" si="11"/>
        <v/>
      </c>
      <c r="AF34" s="458"/>
      <c r="AG34" s="275">
        <f t="shared" si="62"/>
        <v>0</v>
      </c>
      <c r="AH34" s="458"/>
      <c r="AI34" s="65">
        <f t="shared" si="63"/>
        <v>0</v>
      </c>
      <c r="AJ34" s="32">
        <f t="shared" si="64"/>
        <v>0.104</v>
      </c>
      <c r="AK34" s="459"/>
      <c r="AL34" s="33">
        <f t="shared" si="65"/>
        <v>0</v>
      </c>
      <c r="AM34" s="458" t="s">
        <v>163</v>
      </c>
      <c r="AN34" s="33">
        <f t="shared" si="66"/>
        <v>0</v>
      </c>
      <c r="AO34" s="33">
        <f t="shared" si="67"/>
        <v>0</v>
      </c>
      <c r="AP34" s="34">
        <f t="shared" si="68"/>
        <v>0</v>
      </c>
      <c r="AR34" s="39"/>
      <c r="AS34" s="36" t="str">
        <f t="shared" si="18"/>
        <v/>
      </c>
      <c r="AT34" s="458"/>
      <c r="AU34" s="275">
        <f t="shared" si="69"/>
        <v>0</v>
      </c>
      <c r="AV34" s="458"/>
      <c r="AW34" s="65">
        <f t="shared" si="70"/>
        <v>0</v>
      </c>
      <c r="AX34" s="32">
        <f t="shared" si="71"/>
        <v>0.104</v>
      </c>
      <c r="AY34" s="459"/>
      <c r="AZ34" s="33">
        <f t="shared" si="72"/>
        <v>0</v>
      </c>
      <c r="BA34" s="458" t="s">
        <v>163</v>
      </c>
      <c r="BB34" s="33">
        <f t="shared" si="73"/>
        <v>0</v>
      </c>
      <c r="BC34" s="33">
        <f t="shared" si="74"/>
        <v>0</v>
      </c>
      <c r="BD34" s="34">
        <f t="shared" si="75"/>
        <v>0</v>
      </c>
      <c r="BF34" s="39"/>
      <c r="BG34" s="36" t="str">
        <f t="shared" si="25"/>
        <v/>
      </c>
      <c r="BH34" s="458"/>
      <c r="BI34" s="275">
        <f t="shared" si="76"/>
        <v>0</v>
      </c>
      <c r="BJ34" s="458"/>
      <c r="BK34" s="65">
        <f t="shared" si="77"/>
        <v>0</v>
      </c>
      <c r="BL34" s="32">
        <f t="shared" si="78"/>
        <v>0.104</v>
      </c>
      <c r="BM34" s="459"/>
      <c r="BN34" s="33">
        <f t="shared" si="79"/>
        <v>0</v>
      </c>
      <c r="BO34" s="458" t="s">
        <v>163</v>
      </c>
      <c r="BP34" s="33">
        <f t="shared" si="80"/>
        <v>0</v>
      </c>
      <c r="BQ34" s="33">
        <f t="shared" si="81"/>
        <v>0</v>
      </c>
      <c r="BR34" s="34">
        <f t="shared" si="82"/>
        <v>0</v>
      </c>
      <c r="BT34" s="39"/>
      <c r="BU34" s="36" t="str">
        <f t="shared" si="32"/>
        <v/>
      </c>
      <c r="BV34" s="458"/>
      <c r="BW34" s="275">
        <f t="shared" si="83"/>
        <v>0</v>
      </c>
      <c r="BX34" s="458"/>
      <c r="BY34" s="65">
        <f t="shared" si="84"/>
        <v>0</v>
      </c>
      <c r="BZ34" s="32">
        <f t="shared" si="85"/>
        <v>0.104</v>
      </c>
      <c r="CA34" s="459"/>
      <c r="CB34" s="33">
        <f t="shared" si="86"/>
        <v>0</v>
      </c>
      <c r="CC34" s="458" t="s">
        <v>163</v>
      </c>
      <c r="CD34" s="33">
        <f t="shared" si="87"/>
        <v>0</v>
      </c>
      <c r="CE34" s="33">
        <f t="shared" si="88"/>
        <v>0</v>
      </c>
      <c r="CF34" s="34">
        <f t="shared" si="89"/>
        <v>0</v>
      </c>
    </row>
    <row r="35" spans="3:84" ht="18" hidden="1" customHeight="1" x14ac:dyDescent="0.35">
      <c r="C35" s="457"/>
      <c r="D35" s="458"/>
      <c r="E35" s="458"/>
      <c r="F35" s="458"/>
      <c r="G35" s="459"/>
      <c r="H35" s="32">
        <f t="shared" si="51"/>
        <v>0.104</v>
      </c>
      <c r="I35" s="459"/>
      <c r="J35" s="33">
        <f t="shared" si="52"/>
        <v>0</v>
      </c>
      <c r="K35" s="458" t="s">
        <v>163</v>
      </c>
      <c r="L35" s="33">
        <f t="shared" si="39"/>
        <v>0</v>
      </c>
      <c r="M35" s="33">
        <f t="shared" si="53"/>
        <v>0</v>
      </c>
      <c r="N35" s="34">
        <f t="shared" si="54"/>
        <v>0</v>
      </c>
      <c r="P35" s="39"/>
      <c r="Q35" s="36" t="str">
        <f t="shared" si="4"/>
        <v/>
      </c>
      <c r="R35" s="458"/>
      <c r="S35" s="275">
        <f t="shared" si="55"/>
        <v>0</v>
      </c>
      <c r="T35" s="458"/>
      <c r="U35" s="65">
        <f t="shared" si="56"/>
        <v>0</v>
      </c>
      <c r="V35" s="32">
        <f t="shared" si="57"/>
        <v>0.104</v>
      </c>
      <c r="W35" s="459"/>
      <c r="X35" s="33">
        <f t="shared" si="58"/>
        <v>0</v>
      </c>
      <c r="Y35" s="458" t="s">
        <v>163</v>
      </c>
      <c r="Z35" s="33">
        <f t="shared" si="59"/>
        <v>0</v>
      </c>
      <c r="AA35" s="33">
        <f t="shared" si="60"/>
        <v>0</v>
      </c>
      <c r="AB35" s="34">
        <f t="shared" si="61"/>
        <v>0</v>
      </c>
      <c r="AD35" s="39"/>
      <c r="AE35" s="36" t="str">
        <f t="shared" si="11"/>
        <v/>
      </c>
      <c r="AF35" s="458"/>
      <c r="AG35" s="275">
        <f t="shared" si="62"/>
        <v>0</v>
      </c>
      <c r="AH35" s="458"/>
      <c r="AI35" s="65">
        <f t="shared" si="63"/>
        <v>0</v>
      </c>
      <c r="AJ35" s="32">
        <f t="shared" si="64"/>
        <v>0.104</v>
      </c>
      <c r="AK35" s="459"/>
      <c r="AL35" s="33">
        <f t="shared" si="65"/>
        <v>0</v>
      </c>
      <c r="AM35" s="458" t="s">
        <v>163</v>
      </c>
      <c r="AN35" s="33">
        <f t="shared" si="66"/>
        <v>0</v>
      </c>
      <c r="AO35" s="33">
        <f t="shared" si="67"/>
        <v>0</v>
      </c>
      <c r="AP35" s="34">
        <f t="shared" si="68"/>
        <v>0</v>
      </c>
      <c r="AR35" s="39"/>
      <c r="AS35" s="36" t="str">
        <f t="shared" si="18"/>
        <v/>
      </c>
      <c r="AT35" s="458"/>
      <c r="AU35" s="275">
        <f t="shared" si="69"/>
        <v>0</v>
      </c>
      <c r="AV35" s="458"/>
      <c r="AW35" s="65">
        <f t="shared" si="70"/>
        <v>0</v>
      </c>
      <c r="AX35" s="32">
        <f t="shared" si="71"/>
        <v>0.104</v>
      </c>
      <c r="AY35" s="459"/>
      <c r="AZ35" s="33">
        <f t="shared" si="72"/>
        <v>0</v>
      </c>
      <c r="BA35" s="458" t="s">
        <v>163</v>
      </c>
      <c r="BB35" s="33">
        <f t="shared" si="73"/>
        <v>0</v>
      </c>
      <c r="BC35" s="33">
        <f t="shared" si="74"/>
        <v>0</v>
      </c>
      <c r="BD35" s="34">
        <f t="shared" si="75"/>
        <v>0</v>
      </c>
      <c r="BF35" s="39"/>
      <c r="BG35" s="36" t="str">
        <f t="shared" si="25"/>
        <v/>
      </c>
      <c r="BH35" s="458"/>
      <c r="BI35" s="275">
        <f t="shared" si="76"/>
        <v>0</v>
      </c>
      <c r="BJ35" s="458"/>
      <c r="BK35" s="65">
        <f t="shared" si="77"/>
        <v>0</v>
      </c>
      <c r="BL35" s="32">
        <f t="shared" si="78"/>
        <v>0.104</v>
      </c>
      <c r="BM35" s="459"/>
      <c r="BN35" s="33">
        <f t="shared" si="79"/>
        <v>0</v>
      </c>
      <c r="BO35" s="458" t="s">
        <v>163</v>
      </c>
      <c r="BP35" s="33">
        <f t="shared" si="80"/>
        <v>0</v>
      </c>
      <c r="BQ35" s="33">
        <f t="shared" si="81"/>
        <v>0</v>
      </c>
      <c r="BR35" s="34">
        <f t="shared" si="82"/>
        <v>0</v>
      </c>
      <c r="BT35" s="39"/>
      <c r="BU35" s="36" t="str">
        <f t="shared" si="32"/>
        <v/>
      </c>
      <c r="BV35" s="458"/>
      <c r="BW35" s="275">
        <f t="shared" si="83"/>
        <v>0</v>
      </c>
      <c r="BX35" s="458"/>
      <c r="BY35" s="65">
        <f t="shared" si="84"/>
        <v>0</v>
      </c>
      <c r="BZ35" s="32">
        <f t="shared" si="85"/>
        <v>0.104</v>
      </c>
      <c r="CA35" s="459"/>
      <c r="CB35" s="33">
        <f t="shared" si="86"/>
        <v>0</v>
      </c>
      <c r="CC35" s="458" t="s">
        <v>163</v>
      </c>
      <c r="CD35" s="33">
        <f t="shared" si="87"/>
        <v>0</v>
      </c>
      <c r="CE35" s="33">
        <f t="shared" si="88"/>
        <v>0</v>
      </c>
      <c r="CF35" s="34">
        <f t="shared" si="89"/>
        <v>0</v>
      </c>
    </row>
    <row r="36" spans="3:84" ht="18" hidden="1" customHeight="1" x14ac:dyDescent="0.35">
      <c r="C36" s="457"/>
      <c r="D36" s="458"/>
      <c r="E36" s="458"/>
      <c r="F36" s="458"/>
      <c r="G36" s="459"/>
      <c r="H36" s="32">
        <f t="shared" si="51"/>
        <v>0.104</v>
      </c>
      <c r="I36" s="459"/>
      <c r="J36" s="33">
        <f t="shared" si="52"/>
        <v>0</v>
      </c>
      <c r="K36" s="458" t="s">
        <v>163</v>
      </c>
      <c r="L36" s="33">
        <f t="shared" si="39"/>
        <v>0</v>
      </c>
      <c r="M36" s="33">
        <f t="shared" si="53"/>
        <v>0</v>
      </c>
      <c r="N36" s="34">
        <f t="shared" si="54"/>
        <v>0</v>
      </c>
      <c r="P36" s="39"/>
      <c r="Q36" s="36" t="str">
        <f t="shared" si="4"/>
        <v/>
      </c>
      <c r="R36" s="458"/>
      <c r="S36" s="275">
        <f t="shared" si="55"/>
        <v>0</v>
      </c>
      <c r="T36" s="458"/>
      <c r="U36" s="65">
        <f t="shared" si="56"/>
        <v>0</v>
      </c>
      <c r="V36" s="32">
        <f t="shared" si="57"/>
        <v>0.104</v>
      </c>
      <c r="W36" s="459"/>
      <c r="X36" s="33">
        <f t="shared" si="58"/>
        <v>0</v>
      </c>
      <c r="Y36" s="458" t="s">
        <v>163</v>
      </c>
      <c r="Z36" s="33">
        <f t="shared" si="59"/>
        <v>0</v>
      </c>
      <c r="AA36" s="33">
        <f t="shared" si="60"/>
        <v>0</v>
      </c>
      <c r="AB36" s="34">
        <f t="shared" si="61"/>
        <v>0</v>
      </c>
      <c r="AD36" s="39"/>
      <c r="AE36" s="36" t="str">
        <f t="shared" si="11"/>
        <v/>
      </c>
      <c r="AF36" s="458"/>
      <c r="AG36" s="275">
        <f t="shared" si="62"/>
        <v>0</v>
      </c>
      <c r="AH36" s="458"/>
      <c r="AI36" s="65">
        <f t="shared" si="63"/>
        <v>0</v>
      </c>
      <c r="AJ36" s="32">
        <f t="shared" si="64"/>
        <v>0.104</v>
      </c>
      <c r="AK36" s="459"/>
      <c r="AL36" s="33">
        <f t="shared" si="65"/>
        <v>0</v>
      </c>
      <c r="AM36" s="458" t="s">
        <v>163</v>
      </c>
      <c r="AN36" s="33">
        <f t="shared" si="66"/>
        <v>0</v>
      </c>
      <c r="AO36" s="33">
        <f t="shared" si="67"/>
        <v>0</v>
      </c>
      <c r="AP36" s="34">
        <f t="shared" si="68"/>
        <v>0</v>
      </c>
      <c r="AR36" s="39"/>
      <c r="AS36" s="36" t="str">
        <f t="shared" si="18"/>
        <v/>
      </c>
      <c r="AT36" s="458"/>
      <c r="AU36" s="275">
        <f t="shared" si="69"/>
        <v>0</v>
      </c>
      <c r="AV36" s="458"/>
      <c r="AW36" s="65">
        <f t="shared" si="70"/>
        <v>0</v>
      </c>
      <c r="AX36" s="32">
        <f t="shared" si="71"/>
        <v>0.104</v>
      </c>
      <c r="AY36" s="459"/>
      <c r="AZ36" s="33">
        <f t="shared" si="72"/>
        <v>0</v>
      </c>
      <c r="BA36" s="458" t="s">
        <v>163</v>
      </c>
      <c r="BB36" s="33">
        <f t="shared" si="73"/>
        <v>0</v>
      </c>
      <c r="BC36" s="33">
        <f t="shared" si="74"/>
        <v>0</v>
      </c>
      <c r="BD36" s="34">
        <f t="shared" si="75"/>
        <v>0</v>
      </c>
      <c r="BF36" s="39"/>
      <c r="BG36" s="36" t="str">
        <f t="shared" si="25"/>
        <v/>
      </c>
      <c r="BH36" s="458"/>
      <c r="BI36" s="275">
        <f t="shared" si="76"/>
        <v>0</v>
      </c>
      <c r="BJ36" s="458"/>
      <c r="BK36" s="65">
        <f t="shared" si="77"/>
        <v>0</v>
      </c>
      <c r="BL36" s="32">
        <f t="shared" si="78"/>
        <v>0.104</v>
      </c>
      <c r="BM36" s="459"/>
      <c r="BN36" s="33">
        <f t="shared" si="79"/>
        <v>0</v>
      </c>
      <c r="BO36" s="458" t="s">
        <v>163</v>
      </c>
      <c r="BP36" s="33">
        <f t="shared" si="80"/>
        <v>0</v>
      </c>
      <c r="BQ36" s="33">
        <f t="shared" si="81"/>
        <v>0</v>
      </c>
      <c r="BR36" s="34">
        <f t="shared" si="82"/>
        <v>0</v>
      </c>
      <c r="BT36" s="39"/>
      <c r="BU36" s="36" t="str">
        <f t="shared" si="32"/>
        <v/>
      </c>
      <c r="BV36" s="458"/>
      <c r="BW36" s="275">
        <f t="shared" si="83"/>
        <v>0</v>
      </c>
      <c r="BX36" s="458"/>
      <c r="BY36" s="65">
        <f t="shared" si="84"/>
        <v>0</v>
      </c>
      <c r="BZ36" s="32">
        <f t="shared" si="85"/>
        <v>0.104</v>
      </c>
      <c r="CA36" s="459"/>
      <c r="CB36" s="33">
        <f t="shared" si="86"/>
        <v>0</v>
      </c>
      <c r="CC36" s="458" t="s">
        <v>163</v>
      </c>
      <c r="CD36" s="33">
        <f t="shared" si="87"/>
        <v>0</v>
      </c>
      <c r="CE36" s="33">
        <f t="shared" si="88"/>
        <v>0</v>
      </c>
      <c r="CF36" s="34">
        <f t="shared" si="89"/>
        <v>0</v>
      </c>
    </row>
    <row r="37" spans="3:84" ht="18" hidden="1" customHeight="1" x14ac:dyDescent="0.35">
      <c r="C37" s="457"/>
      <c r="D37" s="458"/>
      <c r="E37" s="458"/>
      <c r="F37" s="458"/>
      <c r="G37" s="459"/>
      <c r="H37" s="32">
        <f t="shared" si="51"/>
        <v>0.104</v>
      </c>
      <c r="I37" s="459"/>
      <c r="J37" s="33">
        <f t="shared" si="52"/>
        <v>0</v>
      </c>
      <c r="K37" s="458" t="s">
        <v>163</v>
      </c>
      <c r="L37" s="33">
        <f t="shared" si="39"/>
        <v>0</v>
      </c>
      <c r="M37" s="33">
        <f t="shared" si="53"/>
        <v>0</v>
      </c>
      <c r="N37" s="34">
        <f t="shared" si="54"/>
        <v>0</v>
      </c>
      <c r="P37" s="39"/>
      <c r="Q37" s="36" t="str">
        <f t="shared" si="4"/>
        <v/>
      </c>
      <c r="R37" s="458"/>
      <c r="S37" s="275">
        <f t="shared" si="55"/>
        <v>0</v>
      </c>
      <c r="T37" s="458"/>
      <c r="U37" s="65">
        <f t="shared" si="56"/>
        <v>0</v>
      </c>
      <c r="V37" s="32">
        <f t="shared" si="57"/>
        <v>0.104</v>
      </c>
      <c r="W37" s="459"/>
      <c r="X37" s="33">
        <f t="shared" si="58"/>
        <v>0</v>
      </c>
      <c r="Y37" s="458" t="s">
        <v>163</v>
      </c>
      <c r="Z37" s="33">
        <f t="shared" si="59"/>
        <v>0</v>
      </c>
      <c r="AA37" s="33">
        <f t="shared" si="60"/>
        <v>0</v>
      </c>
      <c r="AB37" s="34">
        <f t="shared" si="61"/>
        <v>0</v>
      </c>
      <c r="AD37" s="39"/>
      <c r="AE37" s="36" t="str">
        <f t="shared" si="11"/>
        <v/>
      </c>
      <c r="AF37" s="458"/>
      <c r="AG37" s="275">
        <f t="shared" si="62"/>
        <v>0</v>
      </c>
      <c r="AH37" s="458"/>
      <c r="AI37" s="65">
        <f t="shared" si="63"/>
        <v>0</v>
      </c>
      <c r="AJ37" s="32">
        <f t="shared" si="64"/>
        <v>0.104</v>
      </c>
      <c r="AK37" s="459"/>
      <c r="AL37" s="33">
        <f t="shared" si="65"/>
        <v>0</v>
      </c>
      <c r="AM37" s="458" t="s">
        <v>163</v>
      </c>
      <c r="AN37" s="33">
        <f t="shared" si="66"/>
        <v>0</v>
      </c>
      <c r="AO37" s="33">
        <f t="shared" si="67"/>
        <v>0</v>
      </c>
      <c r="AP37" s="34">
        <f t="shared" si="68"/>
        <v>0</v>
      </c>
      <c r="AR37" s="39"/>
      <c r="AS37" s="36" t="str">
        <f t="shared" si="18"/>
        <v/>
      </c>
      <c r="AT37" s="458"/>
      <c r="AU37" s="275">
        <f t="shared" si="69"/>
        <v>0</v>
      </c>
      <c r="AV37" s="458"/>
      <c r="AW37" s="65">
        <f t="shared" si="70"/>
        <v>0</v>
      </c>
      <c r="AX37" s="32">
        <f t="shared" si="71"/>
        <v>0.104</v>
      </c>
      <c r="AY37" s="459"/>
      <c r="AZ37" s="33">
        <f t="shared" si="72"/>
        <v>0</v>
      </c>
      <c r="BA37" s="458" t="s">
        <v>163</v>
      </c>
      <c r="BB37" s="33">
        <f t="shared" si="73"/>
        <v>0</v>
      </c>
      <c r="BC37" s="33">
        <f t="shared" si="74"/>
        <v>0</v>
      </c>
      <c r="BD37" s="34">
        <f t="shared" si="75"/>
        <v>0</v>
      </c>
      <c r="BF37" s="39"/>
      <c r="BG37" s="36" t="str">
        <f t="shared" si="25"/>
        <v/>
      </c>
      <c r="BH37" s="458"/>
      <c r="BI37" s="275">
        <f t="shared" si="76"/>
        <v>0</v>
      </c>
      <c r="BJ37" s="458"/>
      <c r="BK37" s="65">
        <f t="shared" si="77"/>
        <v>0</v>
      </c>
      <c r="BL37" s="32">
        <f t="shared" si="78"/>
        <v>0.104</v>
      </c>
      <c r="BM37" s="459"/>
      <c r="BN37" s="33">
        <f t="shared" si="79"/>
        <v>0</v>
      </c>
      <c r="BO37" s="458" t="s">
        <v>163</v>
      </c>
      <c r="BP37" s="33">
        <f t="shared" si="80"/>
        <v>0</v>
      </c>
      <c r="BQ37" s="33">
        <f t="shared" si="81"/>
        <v>0</v>
      </c>
      <c r="BR37" s="34">
        <f t="shared" si="82"/>
        <v>0</v>
      </c>
      <c r="BT37" s="39"/>
      <c r="BU37" s="36" t="str">
        <f t="shared" si="32"/>
        <v/>
      </c>
      <c r="BV37" s="458"/>
      <c r="BW37" s="275">
        <f t="shared" si="83"/>
        <v>0</v>
      </c>
      <c r="BX37" s="458"/>
      <c r="BY37" s="65">
        <f t="shared" si="84"/>
        <v>0</v>
      </c>
      <c r="BZ37" s="32">
        <f t="shared" si="85"/>
        <v>0.104</v>
      </c>
      <c r="CA37" s="459"/>
      <c r="CB37" s="33">
        <f t="shared" si="86"/>
        <v>0</v>
      </c>
      <c r="CC37" s="458" t="s">
        <v>163</v>
      </c>
      <c r="CD37" s="33">
        <f t="shared" si="87"/>
        <v>0</v>
      </c>
      <c r="CE37" s="33">
        <f t="shared" si="88"/>
        <v>0</v>
      </c>
      <c r="CF37" s="34">
        <f t="shared" si="89"/>
        <v>0</v>
      </c>
    </row>
    <row r="38" spans="3:84" ht="18" hidden="1" customHeight="1" x14ac:dyDescent="0.35">
      <c r="C38" s="457"/>
      <c r="D38" s="458"/>
      <c r="E38" s="458"/>
      <c r="F38" s="458"/>
      <c r="G38" s="459"/>
      <c r="H38" s="32">
        <f t="shared" si="51"/>
        <v>0.104</v>
      </c>
      <c r="I38" s="459"/>
      <c r="J38" s="33">
        <f t="shared" si="52"/>
        <v>0</v>
      </c>
      <c r="K38" s="458" t="s">
        <v>163</v>
      </c>
      <c r="L38" s="33">
        <f t="shared" si="39"/>
        <v>0</v>
      </c>
      <c r="M38" s="33">
        <f t="shared" si="53"/>
        <v>0</v>
      </c>
      <c r="N38" s="34">
        <f t="shared" si="54"/>
        <v>0</v>
      </c>
      <c r="P38" s="39"/>
      <c r="Q38" s="36" t="str">
        <f t="shared" si="4"/>
        <v/>
      </c>
      <c r="R38" s="458"/>
      <c r="S38" s="275">
        <f t="shared" si="55"/>
        <v>0</v>
      </c>
      <c r="T38" s="458"/>
      <c r="U38" s="65">
        <f t="shared" si="56"/>
        <v>0</v>
      </c>
      <c r="V38" s="32">
        <f t="shared" si="57"/>
        <v>0.104</v>
      </c>
      <c r="W38" s="459"/>
      <c r="X38" s="33">
        <f t="shared" si="58"/>
        <v>0</v>
      </c>
      <c r="Y38" s="458" t="s">
        <v>163</v>
      </c>
      <c r="Z38" s="33">
        <f t="shared" si="59"/>
        <v>0</v>
      </c>
      <c r="AA38" s="33">
        <f t="shared" si="60"/>
        <v>0</v>
      </c>
      <c r="AB38" s="34">
        <f t="shared" si="61"/>
        <v>0</v>
      </c>
      <c r="AD38" s="39"/>
      <c r="AE38" s="36" t="str">
        <f t="shared" si="11"/>
        <v/>
      </c>
      <c r="AF38" s="458"/>
      <c r="AG38" s="275">
        <f t="shared" si="62"/>
        <v>0</v>
      </c>
      <c r="AH38" s="458"/>
      <c r="AI38" s="65">
        <f t="shared" si="63"/>
        <v>0</v>
      </c>
      <c r="AJ38" s="32">
        <f t="shared" si="64"/>
        <v>0.104</v>
      </c>
      <c r="AK38" s="459"/>
      <c r="AL38" s="33">
        <f t="shared" si="65"/>
        <v>0</v>
      </c>
      <c r="AM38" s="458" t="s">
        <v>163</v>
      </c>
      <c r="AN38" s="33">
        <f t="shared" si="66"/>
        <v>0</v>
      </c>
      <c r="AO38" s="33">
        <f t="shared" si="67"/>
        <v>0</v>
      </c>
      <c r="AP38" s="34">
        <f t="shared" si="68"/>
        <v>0</v>
      </c>
      <c r="AR38" s="39"/>
      <c r="AS38" s="36" t="str">
        <f t="shared" si="18"/>
        <v/>
      </c>
      <c r="AT38" s="458"/>
      <c r="AU38" s="275">
        <f t="shared" si="69"/>
        <v>0</v>
      </c>
      <c r="AV38" s="458"/>
      <c r="AW38" s="65">
        <f t="shared" si="70"/>
        <v>0</v>
      </c>
      <c r="AX38" s="32">
        <f t="shared" si="71"/>
        <v>0.104</v>
      </c>
      <c r="AY38" s="459"/>
      <c r="AZ38" s="33">
        <f t="shared" si="72"/>
        <v>0</v>
      </c>
      <c r="BA38" s="458" t="s">
        <v>163</v>
      </c>
      <c r="BB38" s="33">
        <f t="shared" si="73"/>
        <v>0</v>
      </c>
      <c r="BC38" s="33">
        <f t="shared" si="74"/>
        <v>0</v>
      </c>
      <c r="BD38" s="34">
        <f t="shared" si="75"/>
        <v>0</v>
      </c>
      <c r="BF38" s="39"/>
      <c r="BG38" s="36" t="str">
        <f t="shared" si="25"/>
        <v/>
      </c>
      <c r="BH38" s="458"/>
      <c r="BI38" s="275">
        <f t="shared" si="76"/>
        <v>0</v>
      </c>
      <c r="BJ38" s="458"/>
      <c r="BK38" s="65">
        <f t="shared" si="77"/>
        <v>0</v>
      </c>
      <c r="BL38" s="32">
        <f t="shared" si="78"/>
        <v>0.104</v>
      </c>
      <c r="BM38" s="459"/>
      <c r="BN38" s="33">
        <f t="shared" si="79"/>
        <v>0</v>
      </c>
      <c r="BO38" s="458" t="s">
        <v>163</v>
      </c>
      <c r="BP38" s="33">
        <f t="shared" si="80"/>
        <v>0</v>
      </c>
      <c r="BQ38" s="33">
        <f t="shared" si="81"/>
        <v>0</v>
      </c>
      <c r="BR38" s="34">
        <f t="shared" si="82"/>
        <v>0</v>
      </c>
      <c r="BT38" s="39"/>
      <c r="BU38" s="36" t="str">
        <f t="shared" si="32"/>
        <v/>
      </c>
      <c r="BV38" s="458"/>
      <c r="BW38" s="275">
        <f t="shared" si="83"/>
        <v>0</v>
      </c>
      <c r="BX38" s="458"/>
      <c r="BY38" s="65">
        <f t="shared" si="84"/>
        <v>0</v>
      </c>
      <c r="BZ38" s="32">
        <f t="shared" si="85"/>
        <v>0.104</v>
      </c>
      <c r="CA38" s="459"/>
      <c r="CB38" s="33">
        <f t="shared" si="86"/>
        <v>0</v>
      </c>
      <c r="CC38" s="458" t="s">
        <v>163</v>
      </c>
      <c r="CD38" s="33">
        <f t="shared" si="87"/>
        <v>0</v>
      </c>
      <c r="CE38" s="33">
        <f t="shared" si="88"/>
        <v>0</v>
      </c>
      <c r="CF38" s="34">
        <f t="shared" si="89"/>
        <v>0</v>
      </c>
    </row>
    <row r="39" spans="3:84" ht="18" hidden="1" customHeight="1" x14ac:dyDescent="0.35">
      <c r="C39" s="457"/>
      <c r="D39" s="458"/>
      <c r="E39" s="458"/>
      <c r="F39" s="458"/>
      <c r="G39" s="459"/>
      <c r="H39" s="32">
        <f t="shared" si="51"/>
        <v>0.104</v>
      </c>
      <c r="I39" s="459"/>
      <c r="J39" s="33">
        <f t="shared" si="52"/>
        <v>0</v>
      </c>
      <c r="K39" s="458" t="s">
        <v>163</v>
      </c>
      <c r="L39" s="33">
        <f t="shared" si="39"/>
        <v>0</v>
      </c>
      <c r="M39" s="33">
        <f t="shared" si="53"/>
        <v>0</v>
      </c>
      <c r="N39" s="34">
        <f t="shared" si="54"/>
        <v>0</v>
      </c>
      <c r="P39" s="39"/>
      <c r="Q39" s="36" t="str">
        <f t="shared" si="4"/>
        <v/>
      </c>
      <c r="R39" s="458"/>
      <c r="S39" s="275">
        <f t="shared" si="55"/>
        <v>0</v>
      </c>
      <c r="T39" s="458"/>
      <c r="U39" s="65">
        <f t="shared" si="56"/>
        <v>0</v>
      </c>
      <c r="V39" s="32">
        <f t="shared" si="57"/>
        <v>0.104</v>
      </c>
      <c r="W39" s="459"/>
      <c r="X39" s="33">
        <f t="shared" si="58"/>
        <v>0</v>
      </c>
      <c r="Y39" s="458" t="s">
        <v>163</v>
      </c>
      <c r="Z39" s="33">
        <f t="shared" si="59"/>
        <v>0</v>
      </c>
      <c r="AA39" s="33">
        <f t="shared" si="60"/>
        <v>0</v>
      </c>
      <c r="AB39" s="34">
        <f t="shared" si="61"/>
        <v>0</v>
      </c>
      <c r="AD39" s="39"/>
      <c r="AE39" s="36" t="str">
        <f t="shared" si="11"/>
        <v/>
      </c>
      <c r="AF39" s="458"/>
      <c r="AG39" s="275">
        <f t="shared" si="62"/>
        <v>0</v>
      </c>
      <c r="AH39" s="458"/>
      <c r="AI39" s="65">
        <f t="shared" si="63"/>
        <v>0</v>
      </c>
      <c r="AJ39" s="32">
        <f t="shared" si="64"/>
        <v>0.104</v>
      </c>
      <c r="AK39" s="459"/>
      <c r="AL39" s="33">
        <f t="shared" si="65"/>
        <v>0</v>
      </c>
      <c r="AM39" s="458" t="s">
        <v>163</v>
      </c>
      <c r="AN39" s="33">
        <f t="shared" si="66"/>
        <v>0</v>
      </c>
      <c r="AO39" s="33">
        <f t="shared" si="67"/>
        <v>0</v>
      </c>
      <c r="AP39" s="34">
        <f t="shared" si="68"/>
        <v>0</v>
      </c>
      <c r="AR39" s="39"/>
      <c r="AS39" s="36" t="str">
        <f t="shared" si="18"/>
        <v/>
      </c>
      <c r="AT39" s="458"/>
      <c r="AU39" s="275">
        <f t="shared" si="69"/>
        <v>0</v>
      </c>
      <c r="AV39" s="458"/>
      <c r="AW39" s="65">
        <f t="shared" si="70"/>
        <v>0</v>
      </c>
      <c r="AX39" s="32">
        <f t="shared" si="71"/>
        <v>0.104</v>
      </c>
      <c r="AY39" s="459"/>
      <c r="AZ39" s="33">
        <f t="shared" si="72"/>
        <v>0</v>
      </c>
      <c r="BA39" s="458" t="s">
        <v>163</v>
      </c>
      <c r="BB39" s="33">
        <f t="shared" si="73"/>
        <v>0</v>
      </c>
      <c r="BC39" s="33">
        <f t="shared" si="74"/>
        <v>0</v>
      </c>
      <c r="BD39" s="34">
        <f t="shared" si="75"/>
        <v>0</v>
      </c>
      <c r="BF39" s="39"/>
      <c r="BG39" s="36" t="str">
        <f t="shared" si="25"/>
        <v/>
      </c>
      <c r="BH39" s="458"/>
      <c r="BI39" s="275">
        <f t="shared" si="76"/>
        <v>0</v>
      </c>
      <c r="BJ39" s="458"/>
      <c r="BK39" s="65">
        <f t="shared" si="77"/>
        <v>0</v>
      </c>
      <c r="BL39" s="32">
        <f t="shared" si="78"/>
        <v>0.104</v>
      </c>
      <c r="BM39" s="459"/>
      <c r="BN39" s="33">
        <f t="shared" si="79"/>
        <v>0</v>
      </c>
      <c r="BO39" s="458" t="s">
        <v>163</v>
      </c>
      <c r="BP39" s="33">
        <f t="shared" si="80"/>
        <v>0</v>
      </c>
      <c r="BQ39" s="33">
        <f t="shared" si="81"/>
        <v>0</v>
      </c>
      <c r="BR39" s="34">
        <f t="shared" si="82"/>
        <v>0</v>
      </c>
      <c r="BT39" s="39"/>
      <c r="BU39" s="36" t="str">
        <f t="shared" si="32"/>
        <v/>
      </c>
      <c r="BV39" s="458"/>
      <c r="BW39" s="275">
        <f t="shared" si="83"/>
        <v>0</v>
      </c>
      <c r="BX39" s="458"/>
      <c r="BY39" s="65">
        <f t="shared" si="84"/>
        <v>0</v>
      </c>
      <c r="BZ39" s="32">
        <f t="shared" si="85"/>
        <v>0.104</v>
      </c>
      <c r="CA39" s="459"/>
      <c r="CB39" s="33">
        <f t="shared" si="86"/>
        <v>0</v>
      </c>
      <c r="CC39" s="458" t="s">
        <v>163</v>
      </c>
      <c r="CD39" s="33">
        <f t="shared" si="87"/>
        <v>0</v>
      </c>
      <c r="CE39" s="33">
        <f t="shared" si="88"/>
        <v>0</v>
      </c>
      <c r="CF39" s="34">
        <f t="shared" si="89"/>
        <v>0</v>
      </c>
    </row>
    <row r="40" spans="3:84" ht="18" hidden="1" customHeight="1" x14ac:dyDescent="0.35">
      <c r="C40" s="457"/>
      <c r="D40" s="458"/>
      <c r="E40" s="458"/>
      <c r="F40" s="458"/>
      <c r="G40" s="459"/>
      <c r="H40" s="32">
        <f t="shared" si="51"/>
        <v>0.104</v>
      </c>
      <c r="I40" s="459"/>
      <c r="J40" s="33">
        <f t="shared" si="52"/>
        <v>0</v>
      </c>
      <c r="K40" s="458" t="s">
        <v>163</v>
      </c>
      <c r="L40" s="33">
        <f t="shared" si="39"/>
        <v>0</v>
      </c>
      <c r="M40" s="33">
        <f t="shared" si="53"/>
        <v>0</v>
      </c>
      <c r="N40" s="34">
        <f t="shared" si="54"/>
        <v>0</v>
      </c>
      <c r="P40" s="39"/>
      <c r="Q40" s="36" t="str">
        <f t="shared" si="4"/>
        <v/>
      </c>
      <c r="R40" s="458"/>
      <c r="S40" s="275">
        <f t="shared" si="55"/>
        <v>0</v>
      </c>
      <c r="T40" s="458"/>
      <c r="U40" s="65">
        <f t="shared" si="56"/>
        <v>0</v>
      </c>
      <c r="V40" s="32">
        <f t="shared" si="57"/>
        <v>0.104</v>
      </c>
      <c r="W40" s="459"/>
      <c r="X40" s="33">
        <f t="shared" si="58"/>
        <v>0</v>
      </c>
      <c r="Y40" s="458" t="s">
        <v>163</v>
      </c>
      <c r="Z40" s="33">
        <f t="shared" si="59"/>
        <v>0</v>
      </c>
      <c r="AA40" s="33">
        <f t="shared" si="60"/>
        <v>0</v>
      </c>
      <c r="AB40" s="34">
        <f t="shared" si="61"/>
        <v>0</v>
      </c>
      <c r="AD40" s="39"/>
      <c r="AE40" s="36" t="str">
        <f t="shared" si="11"/>
        <v/>
      </c>
      <c r="AF40" s="458"/>
      <c r="AG40" s="275">
        <f t="shared" si="62"/>
        <v>0</v>
      </c>
      <c r="AH40" s="458"/>
      <c r="AI40" s="65">
        <f t="shared" si="63"/>
        <v>0</v>
      </c>
      <c r="AJ40" s="32">
        <f t="shared" si="64"/>
        <v>0.104</v>
      </c>
      <c r="AK40" s="459"/>
      <c r="AL40" s="33">
        <f t="shared" si="65"/>
        <v>0</v>
      </c>
      <c r="AM40" s="458" t="s">
        <v>163</v>
      </c>
      <c r="AN40" s="33">
        <f t="shared" si="66"/>
        <v>0</v>
      </c>
      <c r="AO40" s="33">
        <f t="shared" si="67"/>
        <v>0</v>
      </c>
      <c r="AP40" s="34">
        <f t="shared" si="68"/>
        <v>0</v>
      </c>
      <c r="AR40" s="39"/>
      <c r="AS40" s="36" t="str">
        <f t="shared" si="18"/>
        <v/>
      </c>
      <c r="AT40" s="458"/>
      <c r="AU40" s="275">
        <f t="shared" si="69"/>
        <v>0</v>
      </c>
      <c r="AV40" s="458"/>
      <c r="AW40" s="65">
        <f t="shared" si="70"/>
        <v>0</v>
      </c>
      <c r="AX40" s="32">
        <f t="shared" si="71"/>
        <v>0.104</v>
      </c>
      <c r="AY40" s="459"/>
      <c r="AZ40" s="33">
        <f t="shared" si="72"/>
        <v>0</v>
      </c>
      <c r="BA40" s="458" t="s">
        <v>163</v>
      </c>
      <c r="BB40" s="33">
        <f t="shared" si="73"/>
        <v>0</v>
      </c>
      <c r="BC40" s="33">
        <f t="shared" si="74"/>
        <v>0</v>
      </c>
      <c r="BD40" s="34">
        <f t="shared" si="75"/>
        <v>0</v>
      </c>
      <c r="BF40" s="39"/>
      <c r="BG40" s="36" t="str">
        <f t="shared" si="25"/>
        <v/>
      </c>
      <c r="BH40" s="458"/>
      <c r="BI40" s="275">
        <f t="shared" si="76"/>
        <v>0</v>
      </c>
      <c r="BJ40" s="458"/>
      <c r="BK40" s="65">
        <f t="shared" si="77"/>
        <v>0</v>
      </c>
      <c r="BL40" s="32">
        <f t="shared" si="78"/>
        <v>0.104</v>
      </c>
      <c r="BM40" s="459"/>
      <c r="BN40" s="33">
        <f t="shared" si="79"/>
        <v>0</v>
      </c>
      <c r="BO40" s="458" t="s">
        <v>163</v>
      </c>
      <c r="BP40" s="33">
        <f t="shared" si="80"/>
        <v>0</v>
      </c>
      <c r="BQ40" s="33">
        <f t="shared" si="81"/>
        <v>0</v>
      </c>
      <c r="BR40" s="34">
        <f t="shared" si="82"/>
        <v>0</v>
      </c>
      <c r="BT40" s="39"/>
      <c r="BU40" s="36" t="str">
        <f t="shared" si="32"/>
        <v/>
      </c>
      <c r="BV40" s="458"/>
      <c r="BW40" s="275">
        <f t="shared" si="83"/>
        <v>0</v>
      </c>
      <c r="BX40" s="458"/>
      <c r="BY40" s="65">
        <f t="shared" si="84"/>
        <v>0</v>
      </c>
      <c r="BZ40" s="32">
        <f t="shared" si="85"/>
        <v>0.104</v>
      </c>
      <c r="CA40" s="459"/>
      <c r="CB40" s="33">
        <f t="shared" si="86"/>
        <v>0</v>
      </c>
      <c r="CC40" s="458" t="s">
        <v>163</v>
      </c>
      <c r="CD40" s="33">
        <f t="shared" si="87"/>
        <v>0</v>
      </c>
      <c r="CE40" s="33">
        <f t="shared" si="88"/>
        <v>0</v>
      </c>
      <c r="CF40" s="34">
        <f t="shared" si="89"/>
        <v>0</v>
      </c>
    </row>
    <row r="41" spans="3:84" ht="18" hidden="1" customHeight="1" x14ac:dyDescent="0.35">
      <c r="C41" s="457"/>
      <c r="D41" s="458"/>
      <c r="E41" s="458"/>
      <c r="F41" s="458"/>
      <c r="G41" s="459"/>
      <c r="H41" s="32">
        <f t="shared" si="51"/>
        <v>0.104</v>
      </c>
      <c r="I41" s="459"/>
      <c r="J41" s="33">
        <f t="shared" si="52"/>
        <v>0</v>
      </c>
      <c r="K41" s="458" t="s">
        <v>163</v>
      </c>
      <c r="L41" s="33">
        <f t="shared" si="39"/>
        <v>0</v>
      </c>
      <c r="M41" s="33">
        <f t="shared" si="53"/>
        <v>0</v>
      </c>
      <c r="N41" s="34">
        <f t="shared" si="54"/>
        <v>0</v>
      </c>
      <c r="P41" s="39"/>
      <c r="Q41" s="36" t="str">
        <f t="shared" si="4"/>
        <v/>
      </c>
      <c r="R41" s="458"/>
      <c r="S41" s="275">
        <f t="shared" si="55"/>
        <v>0</v>
      </c>
      <c r="T41" s="458"/>
      <c r="U41" s="65">
        <f t="shared" si="56"/>
        <v>0</v>
      </c>
      <c r="V41" s="32">
        <f t="shared" si="57"/>
        <v>0.104</v>
      </c>
      <c r="W41" s="459"/>
      <c r="X41" s="33">
        <f t="shared" si="58"/>
        <v>0</v>
      </c>
      <c r="Y41" s="458" t="s">
        <v>163</v>
      </c>
      <c r="Z41" s="33">
        <f t="shared" si="59"/>
        <v>0</v>
      </c>
      <c r="AA41" s="33">
        <f t="shared" si="60"/>
        <v>0</v>
      </c>
      <c r="AB41" s="34">
        <f t="shared" si="61"/>
        <v>0</v>
      </c>
      <c r="AD41" s="39"/>
      <c r="AE41" s="36" t="str">
        <f t="shared" si="11"/>
        <v/>
      </c>
      <c r="AF41" s="458"/>
      <c r="AG41" s="275">
        <f t="shared" si="62"/>
        <v>0</v>
      </c>
      <c r="AH41" s="458"/>
      <c r="AI41" s="65">
        <f t="shared" si="63"/>
        <v>0</v>
      </c>
      <c r="AJ41" s="32">
        <f t="shared" si="64"/>
        <v>0.104</v>
      </c>
      <c r="AK41" s="459"/>
      <c r="AL41" s="33">
        <f t="shared" si="65"/>
        <v>0</v>
      </c>
      <c r="AM41" s="458" t="s">
        <v>163</v>
      </c>
      <c r="AN41" s="33">
        <f t="shared" si="66"/>
        <v>0</v>
      </c>
      <c r="AO41" s="33">
        <f t="shared" si="67"/>
        <v>0</v>
      </c>
      <c r="AP41" s="34">
        <f t="shared" si="68"/>
        <v>0</v>
      </c>
      <c r="AR41" s="39"/>
      <c r="AS41" s="36" t="str">
        <f t="shared" si="18"/>
        <v/>
      </c>
      <c r="AT41" s="458"/>
      <c r="AU41" s="275">
        <f t="shared" si="69"/>
        <v>0</v>
      </c>
      <c r="AV41" s="458"/>
      <c r="AW41" s="65">
        <f t="shared" si="70"/>
        <v>0</v>
      </c>
      <c r="AX41" s="32">
        <f t="shared" si="71"/>
        <v>0.104</v>
      </c>
      <c r="AY41" s="459"/>
      <c r="AZ41" s="33">
        <f t="shared" si="72"/>
        <v>0</v>
      </c>
      <c r="BA41" s="458" t="s">
        <v>163</v>
      </c>
      <c r="BB41" s="33">
        <f t="shared" si="73"/>
        <v>0</v>
      </c>
      <c r="BC41" s="33">
        <f t="shared" si="74"/>
        <v>0</v>
      </c>
      <c r="BD41" s="34">
        <f t="shared" si="75"/>
        <v>0</v>
      </c>
      <c r="BF41" s="39"/>
      <c r="BG41" s="36" t="str">
        <f t="shared" si="25"/>
        <v/>
      </c>
      <c r="BH41" s="458"/>
      <c r="BI41" s="275">
        <f t="shared" si="76"/>
        <v>0</v>
      </c>
      <c r="BJ41" s="458"/>
      <c r="BK41" s="65">
        <f t="shared" si="77"/>
        <v>0</v>
      </c>
      <c r="BL41" s="32">
        <f t="shared" si="78"/>
        <v>0.104</v>
      </c>
      <c r="BM41" s="459"/>
      <c r="BN41" s="33">
        <f t="shared" si="79"/>
        <v>0</v>
      </c>
      <c r="BO41" s="458" t="s">
        <v>163</v>
      </c>
      <c r="BP41" s="33">
        <f t="shared" si="80"/>
        <v>0</v>
      </c>
      <c r="BQ41" s="33">
        <f t="shared" si="81"/>
        <v>0</v>
      </c>
      <c r="BR41" s="34">
        <f t="shared" si="82"/>
        <v>0</v>
      </c>
      <c r="BT41" s="39"/>
      <c r="BU41" s="36" t="str">
        <f t="shared" si="32"/>
        <v/>
      </c>
      <c r="BV41" s="458"/>
      <c r="BW41" s="275">
        <f t="shared" si="83"/>
        <v>0</v>
      </c>
      <c r="BX41" s="458"/>
      <c r="BY41" s="65">
        <f t="shared" si="84"/>
        <v>0</v>
      </c>
      <c r="BZ41" s="32">
        <f t="shared" si="85"/>
        <v>0.104</v>
      </c>
      <c r="CA41" s="459"/>
      <c r="CB41" s="33">
        <f t="shared" si="86"/>
        <v>0</v>
      </c>
      <c r="CC41" s="458" t="s">
        <v>163</v>
      </c>
      <c r="CD41" s="33">
        <f t="shared" si="87"/>
        <v>0</v>
      </c>
      <c r="CE41" s="33">
        <f t="shared" si="88"/>
        <v>0</v>
      </c>
      <c r="CF41" s="34">
        <f t="shared" si="89"/>
        <v>0</v>
      </c>
    </row>
    <row r="42" spans="3:84" ht="18" hidden="1" customHeight="1" x14ac:dyDescent="0.35">
      <c r="C42" s="457"/>
      <c r="D42" s="458"/>
      <c r="E42" s="458"/>
      <c r="F42" s="458"/>
      <c r="G42" s="459"/>
      <c r="H42" s="32">
        <f t="shared" si="51"/>
        <v>0.104</v>
      </c>
      <c r="I42" s="459"/>
      <c r="J42" s="33">
        <f t="shared" si="52"/>
        <v>0</v>
      </c>
      <c r="K42" s="458" t="s">
        <v>163</v>
      </c>
      <c r="L42" s="33">
        <f t="shared" si="39"/>
        <v>0</v>
      </c>
      <c r="M42" s="33">
        <f t="shared" si="53"/>
        <v>0</v>
      </c>
      <c r="N42" s="34">
        <f t="shared" si="54"/>
        <v>0</v>
      </c>
      <c r="P42" s="39"/>
      <c r="Q42" s="36" t="str">
        <f t="shared" si="4"/>
        <v/>
      </c>
      <c r="R42" s="458"/>
      <c r="S42" s="275">
        <f t="shared" si="55"/>
        <v>0</v>
      </c>
      <c r="T42" s="458"/>
      <c r="U42" s="65">
        <f t="shared" si="56"/>
        <v>0</v>
      </c>
      <c r="V42" s="32">
        <f t="shared" si="57"/>
        <v>0.104</v>
      </c>
      <c r="W42" s="459"/>
      <c r="X42" s="33">
        <f t="shared" si="58"/>
        <v>0</v>
      </c>
      <c r="Y42" s="458" t="s">
        <v>163</v>
      </c>
      <c r="Z42" s="33">
        <f t="shared" si="59"/>
        <v>0</v>
      </c>
      <c r="AA42" s="33">
        <f t="shared" si="60"/>
        <v>0</v>
      </c>
      <c r="AB42" s="34">
        <f t="shared" si="61"/>
        <v>0</v>
      </c>
      <c r="AD42" s="39"/>
      <c r="AE42" s="36" t="str">
        <f t="shared" si="11"/>
        <v/>
      </c>
      <c r="AF42" s="458"/>
      <c r="AG42" s="275">
        <f t="shared" si="62"/>
        <v>0</v>
      </c>
      <c r="AH42" s="458"/>
      <c r="AI42" s="65">
        <f t="shared" si="63"/>
        <v>0</v>
      </c>
      <c r="AJ42" s="32">
        <f t="shared" si="64"/>
        <v>0.104</v>
      </c>
      <c r="AK42" s="459"/>
      <c r="AL42" s="33">
        <f t="shared" si="65"/>
        <v>0</v>
      </c>
      <c r="AM42" s="458" t="s">
        <v>163</v>
      </c>
      <c r="AN42" s="33">
        <f t="shared" si="66"/>
        <v>0</v>
      </c>
      <c r="AO42" s="33">
        <f t="shared" si="67"/>
        <v>0</v>
      </c>
      <c r="AP42" s="34">
        <f t="shared" si="68"/>
        <v>0</v>
      </c>
      <c r="AR42" s="39"/>
      <c r="AS42" s="36" t="str">
        <f t="shared" si="18"/>
        <v/>
      </c>
      <c r="AT42" s="458"/>
      <c r="AU42" s="275">
        <f t="shared" si="69"/>
        <v>0</v>
      </c>
      <c r="AV42" s="458"/>
      <c r="AW42" s="65">
        <f t="shared" si="70"/>
        <v>0</v>
      </c>
      <c r="AX42" s="32">
        <f t="shared" si="71"/>
        <v>0.104</v>
      </c>
      <c r="AY42" s="459"/>
      <c r="AZ42" s="33">
        <f t="shared" si="72"/>
        <v>0</v>
      </c>
      <c r="BA42" s="458" t="s">
        <v>163</v>
      </c>
      <c r="BB42" s="33">
        <f t="shared" si="73"/>
        <v>0</v>
      </c>
      <c r="BC42" s="33">
        <f t="shared" si="74"/>
        <v>0</v>
      </c>
      <c r="BD42" s="34">
        <f t="shared" si="75"/>
        <v>0</v>
      </c>
      <c r="BF42" s="39"/>
      <c r="BG42" s="36" t="str">
        <f t="shared" si="25"/>
        <v/>
      </c>
      <c r="BH42" s="458"/>
      <c r="BI42" s="275">
        <f t="shared" si="76"/>
        <v>0</v>
      </c>
      <c r="BJ42" s="458"/>
      <c r="BK42" s="65">
        <f t="shared" si="77"/>
        <v>0</v>
      </c>
      <c r="BL42" s="32">
        <f t="shared" si="78"/>
        <v>0.104</v>
      </c>
      <c r="BM42" s="459"/>
      <c r="BN42" s="33">
        <f t="shared" si="79"/>
        <v>0</v>
      </c>
      <c r="BO42" s="458" t="s">
        <v>163</v>
      </c>
      <c r="BP42" s="33">
        <f t="shared" si="80"/>
        <v>0</v>
      </c>
      <c r="BQ42" s="33">
        <f t="shared" si="81"/>
        <v>0</v>
      </c>
      <c r="BR42" s="34">
        <f t="shared" si="82"/>
        <v>0</v>
      </c>
      <c r="BT42" s="39"/>
      <c r="BU42" s="36" t="str">
        <f t="shared" si="32"/>
        <v/>
      </c>
      <c r="BV42" s="458"/>
      <c r="BW42" s="275">
        <f t="shared" si="83"/>
        <v>0</v>
      </c>
      <c r="BX42" s="458"/>
      <c r="BY42" s="65">
        <f t="shared" si="84"/>
        <v>0</v>
      </c>
      <c r="BZ42" s="32">
        <f t="shared" si="85"/>
        <v>0.104</v>
      </c>
      <c r="CA42" s="459"/>
      <c r="CB42" s="33">
        <f t="shared" si="86"/>
        <v>0</v>
      </c>
      <c r="CC42" s="458" t="s">
        <v>163</v>
      </c>
      <c r="CD42" s="33">
        <f t="shared" si="87"/>
        <v>0</v>
      </c>
      <c r="CE42" s="33">
        <f t="shared" si="88"/>
        <v>0</v>
      </c>
      <c r="CF42" s="34">
        <f t="shared" si="89"/>
        <v>0</v>
      </c>
    </row>
    <row r="43" spans="3:84" ht="18" hidden="1" customHeight="1" x14ac:dyDescent="0.35">
      <c r="C43" s="457"/>
      <c r="D43" s="458"/>
      <c r="E43" s="458"/>
      <c r="F43" s="458"/>
      <c r="G43" s="459"/>
      <c r="H43" s="32">
        <f t="shared" si="51"/>
        <v>0.104</v>
      </c>
      <c r="I43" s="459"/>
      <c r="J43" s="33">
        <f t="shared" si="52"/>
        <v>0</v>
      </c>
      <c r="K43" s="458" t="s">
        <v>163</v>
      </c>
      <c r="L43" s="33">
        <f t="shared" si="39"/>
        <v>0</v>
      </c>
      <c r="M43" s="33">
        <f t="shared" si="53"/>
        <v>0</v>
      </c>
      <c r="N43" s="34">
        <f t="shared" si="54"/>
        <v>0</v>
      </c>
      <c r="P43" s="39"/>
      <c r="Q43" s="36" t="str">
        <f t="shared" si="4"/>
        <v/>
      </c>
      <c r="R43" s="458"/>
      <c r="S43" s="275">
        <f t="shared" si="55"/>
        <v>0</v>
      </c>
      <c r="T43" s="458"/>
      <c r="U43" s="65">
        <f t="shared" si="56"/>
        <v>0</v>
      </c>
      <c r="V43" s="32">
        <f t="shared" si="57"/>
        <v>0.104</v>
      </c>
      <c r="W43" s="459"/>
      <c r="X43" s="33">
        <f t="shared" si="58"/>
        <v>0</v>
      </c>
      <c r="Y43" s="458" t="s">
        <v>163</v>
      </c>
      <c r="Z43" s="33">
        <f t="shared" si="59"/>
        <v>0</v>
      </c>
      <c r="AA43" s="33">
        <f t="shared" si="60"/>
        <v>0</v>
      </c>
      <c r="AB43" s="34">
        <f t="shared" si="61"/>
        <v>0</v>
      </c>
      <c r="AD43" s="39"/>
      <c r="AE43" s="36" t="str">
        <f t="shared" si="11"/>
        <v/>
      </c>
      <c r="AF43" s="458"/>
      <c r="AG43" s="275">
        <f t="shared" si="62"/>
        <v>0</v>
      </c>
      <c r="AH43" s="458"/>
      <c r="AI43" s="65">
        <f t="shared" si="63"/>
        <v>0</v>
      </c>
      <c r="AJ43" s="32">
        <f t="shared" si="64"/>
        <v>0.104</v>
      </c>
      <c r="AK43" s="459"/>
      <c r="AL43" s="33">
        <f t="shared" si="65"/>
        <v>0</v>
      </c>
      <c r="AM43" s="458" t="s">
        <v>163</v>
      </c>
      <c r="AN43" s="33">
        <f t="shared" si="66"/>
        <v>0</v>
      </c>
      <c r="AO43" s="33">
        <f t="shared" si="67"/>
        <v>0</v>
      </c>
      <c r="AP43" s="34">
        <f t="shared" si="68"/>
        <v>0</v>
      </c>
      <c r="AR43" s="39"/>
      <c r="AS43" s="36" t="str">
        <f t="shared" si="18"/>
        <v/>
      </c>
      <c r="AT43" s="458"/>
      <c r="AU43" s="275">
        <f t="shared" si="69"/>
        <v>0</v>
      </c>
      <c r="AV43" s="458"/>
      <c r="AW43" s="65">
        <f t="shared" si="70"/>
        <v>0</v>
      </c>
      <c r="AX43" s="32">
        <f t="shared" si="71"/>
        <v>0.104</v>
      </c>
      <c r="AY43" s="459"/>
      <c r="AZ43" s="33">
        <f t="shared" si="72"/>
        <v>0</v>
      </c>
      <c r="BA43" s="458" t="s">
        <v>163</v>
      </c>
      <c r="BB43" s="33">
        <f t="shared" si="73"/>
        <v>0</v>
      </c>
      <c r="BC43" s="33">
        <f t="shared" si="74"/>
        <v>0</v>
      </c>
      <c r="BD43" s="34">
        <f t="shared" si="75"/>
        <v>0</v>
      </c>
      <c r="BF43" s="39"/>
      <c r="BG43" s="36" t="str">
        <f t="shared" si="25"/>
        <v/>
      </c>
      <c r="BH43" s="458"/>
      <c r="BI43" s="275">
        <f t="shared" si="76"/>
        <v>0</v>
      </c>
      <c r="BJ43" s="458"/>
      <c r="BK43" s="65">
        <f t="shared" si="77"/>
        <v>0</v>
      </c>
      <c r="BL43" s="32">
        <f t="shared" si="78"/>
        <v>0.104</v>
      </c>
      <c r="BM43" s="459"/>
      <c r="BN43" s="33">
        <f t="shared" si="79"/>
        <v>0</v>
      </c>
      <c r="BO43" s="458" t="s">
        <v>163</v>
      </c>
      <c r="BP43" s="33">
        <f t="shared" si="80"/>
        <v>0</v>
      </c>
      <c r="BQ43" s="33">
        <f t="shared" si="81"/>
        <v>0</v>
      </c>
      <c r="BR43" s="34">
        <f t="shared" si="82"/>
        <v>0</v>
      </c>
      <c r="BT43" s="39"/>
      <c r="BU43" s="36" t="str">
        <f t="shared" si="32"/>
        <v/>
      </c>
      <c r="BV43" s="458"/>
      <c r="BW43" s="275">
        <f t="shared" si="83"/>
        <v>0</v>
      </c>
      <c r="BX43" s="458"/>
      <c r="BY43" s="65">
        <f t="shared" si="84"/>
        <v>0</v>
      </c>
      <c r="BZ43" s="32">
        <f t="shared" si="85"/>
        <v>0.104</v>
      </c>
      <c r="CA43" s="459"/>
      <c r="CB43" s="33">
        <f t="shared" si="86"/>
        <v>0</v>
      </c>
      <c r="CC43" s="458" t="s">
        <v>163</v>
      </c>
      <c r="CD43" s="33">
        <f t="shared" si="87"/>
        <v>0</v>
      </c>
      <c r="CE43" s="33">
        <f t="shared" si="88"/>
        <v>0</v>
      </c>
      <c r="CF43" s="34">
        <f t="shared" si="89"/>
        <v>0</v>
      </c>
    </row>
    <row r="44" spans="3:84" ht="18" hidden="1" customHeight="1" x14ac:dyDescent="0.35">
      <c r="C44" s="457"/>
      <c r="D44" s="458"/>
      <c r="E44" s="458"/>
      <c r="F44" s="458"/>
      <c r="G44" s="459"/>
      <c r="H44" s="32">
        <f t="shared" si="51"/>
        <v>0.104</v>
      </c>
      <c r="I44" s="459"/>
      <c r="J44" s="33">
        <f t="shared" si="52"/>
        <v>0</v>
      </c>
      <c r="K44" s="458" t="s">
        <v>163</v>
      </c>
      <c r="L44" s="33">
        <f t="shared" si="39"/>
        <v>0</v>
      </c>
      <c r="M44" s="33">
        <f t="shared" si="53"/>
        <v>0</v>
      </c>
      <c r="N44" s="34">
        <f t="shared" si="54"/>
        <v>0</v>
      </c>
      <c r="P44" s="39"/>
      <c r="Q44" s="36" t="str">
        <f t="shared" si="4"/>
        <v/>
      </c>
      <c r="R44" s="458"/>
      <c r="S44" s="275">
        <f t="shared" si="55"/>
        <v>0</v>
      </c>
      <c r="T44" s="458"/>
      <c r="U44" s="65">
        <f t="shared" si="56"/>
        <v>0</v>
      </c>
      <c r="V44" s="32">
        <f t="shared" si="57"/>
        <v>0.104</v>
      </c>
      <c r="W44" s="459"/>
      <c r="X44" s="33">
        <f t="shared" si="58"/>
        <v>0</v>
      </c>
      <c r="Y44" s="458" t="s">
        <v>163</v>
      </c>
      <c r="Z44" s="33">
        <f t="shared" si="59"/>
        <v>0</v>
      </c>
      <c r="AA44" s="33">
        <f t="shared" si="60"/>
        <v>0</v>
      </c>
      <c r="AB44" s="34">
        <f t="shared" si="61"/>
        <v>0</v>
      </c>
      <c r="AD44" s="39"/>
      <c r="AE44" s="36" t="str">
        <f t="shared" si="11"/>
        <v/>
      </c>
      <c r="AF44" s="458"/>
      <c r="AG44" s="275">
        <f t="shared" si="62"/>
        <v>0</v>
      </c>
      <c r="AH44" s="458"/>
      <c r="AI44" s="65">
        <f t="shared" si="63"/>
        <v>0</v>
      </c>
      <c r="AJ44" s="32">
        <f t="shared" si="64"/>
        <v>0.104</v>
      </c>
      <c r="AK44" s="459"/>
      <c r="AL44" s="33">
        <f t="shared" si="65"/>
        <v>0</v>
      </c>
      <c r="AM44" s="458" t="s">
        <v>163</v>
      </c>
      <c r="AN44" s="33">
        <f t="shared" si="66"/>
        <v>0</v>
      </c>
      <c r="AO44" s="33">
        <f t="shared" si="67"/>
        <v>0</v>
      </c>
      <c r="AP44" s="34">
        <f t="shared" si="68"/>
        <v>0</v>
      </c>
      <c r="AR44" s="39"/>
      <c r="AS44" s="36" t="str">
        <f t="shared" si="18"/>
        <v/>
      </c>
      <c r="AT44" s="458"/>
      <c r="AU44" s="275">
        <f t="shared" si="69"/>
        <v>0</v>
      </c>
      <c r="AV44" s="458"/>
      <c r="AW44" s="65">
        <f t="shared" si="70"/>
        <v>0</v>
      </c>
      <c r="AX44" s="32">
        <f t="shared" si="71"/>
        <v>0.104</v>
      </c>
      <c r="AY44" s="459"/>
      <c r="AZ44" s="33">
        <f t="shared" si="72"/>
        <v>0</v>
      </c>
      <c r="BA44" s="458" t="s">
        <v>163</v>
      </c>
      <c r="BB44" s="33">
        <f t="shared" si="73"/>
        <v>0</v>
      </c>
      <c r="BC44" s="33">
        <f t="shared" si="74"/>
        <v>0</v>
      </c>
      <c r="BD44" s="34">
        <f t="shared" si="75"/>
        <v>0</v>
      </c>
      <c r="BF44" s="39"/>
      <c r="BG44" s="36" t="str">
        <f t="shared" si="25"/>
        <v/>
      </c>
      <c r="BH44" s="458"/>
      <c r="BI44" s="275">
        <f t="shared" si="76"/>
        <v>0</v>
      </c>
      <c r="BJ44" s="458"/>
      <c r="BK44" s="65">
        <f t="shared" si="77"/>
        <v>0</v>
      </c>
      <c r="BL44" s="32">
        <f t="shared" si="78"/>
        <v>0.104</v>
      </c>
      <c r="BM44" s="459"/>
      <c r="BN44" s="33">
        <f t="shared" si="79"/>
        <v>0</v>
      </c>
      <c r="BO44" s="458" t="s">
        <v>163</v>
      </c>
      <c r="BP44" s="33">
        <f t="shared" si="80"/>
        <v>0</v>
      </c>
      <c r="BQ44" s="33">
        <f t="shared" si="81"/>
        <v>0</v>
      </c>
      <c r="BR44" s="34">
        <f t="shared" si="82"/>
        <v>0</v>
      </c>
      <c r="BT44" s="39"/>
      <c r="BU44" s="36" t="str">
        <f t="shared" si="32"/>
        <v/>
      </c>
      <c r="BV44" s="458"/>
      <c r="BW44" s="275">
        <f t="shared" si="83"/>
        <v>0</v>
      </c>
      <c r="BX44" s="458"/>
      <c r="BY44" s="65">
        <f t="shared" si="84"/>
        <v>0</v>
      </c>
      <c r="BZ44" s="32">
        <f t="shared" si="85"/>
        <v>0.104</v>
      </c>
      <c r="CA44" s="459"/>
      <c r="CB44" s="33">
        <f t="shared" si="86"/>
        <v>0</v>
      </c>
      <c r="CC44" s="458" t="s">
        <v>163</v>
      </c>
      <c r="CD44" s="33">
        <f t="shared" si="87"/>
        <v>0</v>
      </c>
      <c r="CE44" s="33">
        <f t="shared" si="88"/>
        <v>0</v>
      </c>
      <c r="CF44" s="34">
        <f t="shared" si="89"/>
        <v>0</v>
      </c>
    </row>
    <row r="45" spans="3:84" ht="18" hidden="1" customHeight="1" x14ac:dyDescent="0.35">
      <c r="C45" s="457"/>
      <c r="D45" s="458"/>
      <c r="E45" s="458"/>
      <c r="F45" s="458"/>
      <c r="G45" s="459"/>
      <c r="H45" s="32">
        <f t="shared" si="51"/>
        <v>0.104</v>
      </c>
      <c r="I45" s="459"/>
      <c r="J45" s="33">
        <f t="shared" si="52"/>
        <v>0</v>
      </c>
      <c r="K45" s="458" t="s">
        <v>163</v>
      </c>
      <c r="L45" s="33">
        <f t="shared" si="39"/>
        <v>0</v>
      </c>
      <c r="M45" s="33">
        <f t="shared" si="53"/>
        <v>0</v>
      </c>
      <c r="N45" s="34">
        <f t="shared" si="54"/>
        <v>0</v>
      </c>
      <c r="P45" s="39"/>
      <c r="Q45" s="36" t="str">
        <f t="shared" si="4"/>
        <v/>
      </c>
      <c r="R45" s="458"/>
      <c r="S45" s="275">
        <f t="shared" si="55"/>
        <v>0</v>
      </c>
      <c r="T45" s="458"/>
      <c r="U45" s="65">
        <f t="shared" si="56"/>
        <v>0</v>
      </c>
      <c r="V45" s="32">
        <f t="shared" si="57"/>
        <v>0.104</v>
      </c>
      <c r="W45" s="459"/>
      <c r="X45" s="33">
        <f t="shared" si="58"/>
        <v>0</v>
      </c>
      <c r="Y45" s="458" t="s">
        <v>163</v>
      </c>
      <c r="Z45" s="33">
        <f t="shared" si="59"/>
        <v>0</v>
      </c>
      <c r="AA45" s="33">
        <f t="shared" si="60"/>
        <v>0</v>
      </c>
      <c r="AB45" s="34">
        <f t="shared" si="61"/>
        <v>0</v>
      </c>
      <c r="AD45" s="39"/>
      <c r="AE45" s="36" t="str">
        <f t="shared" si="11"/>
        <v/>
      </c>
      <c r="AF45" s="458"/>
      <c r="AG45" s="275">
        <f t="shared" si="62"/>
        <v>0</v>
      </c>
      <c r="AH45" s="458"/>
      <c r="AI45" s="65">
        <f t="shared" si="63"/>
        <v>0</v>
      </c>
      <c r="AJ45" s="32">
        <f t="shared" si="64"/>
        <v>0.104</v>
      </c>
      <c r="AK45" s="459"/>
      <c r="AL45" s="33">
        <f t="shared" si="65"/>
        <v>0</v>
      </c>
      <c r="AM45" s="458" t="s">
        <v>163</v>
      </c>
      <c r="AN45" s="33">
        <f t="shared" si="66"/>
        <v>0</v>
      </c>
      <c r="AO45" s="33">
        <f t="shared" si="67"/>
        <v>0</v>
      </c>
      <c r="AP45" s="34">
        <f t="shared" si="68"/>
        <v>0</v>
      </c>
      <c r="AR45" s="39"/>
      <c r="AS45" s="36" t="str">
        <f t="shared" si="18"/>
        <v/>
      </c>
      <c r="AT45" s="458"/>
      <c r="AU45" s="275">
        <f t="shared" si="69"/>
        <v>0</v>
      </c>
      <c r="AV45" s="458"/>
      <c r="AW45" s="65">
        <f t="shared" si="70"/>
        <v>0</v>
      </c>
      <c r="AX45" s="32">
        <f t="shared" si="71"/>
        <v>0.104</v>
      </c>
      <c r="AY45" s="459"/>
      <c r="AZ45" s="33">
        <f t="shared" si="72"/>
        <v>0</v>
      </c>
      <c r="BA45" s="458" t="s">
        <v>163</v>
      </c>
      <c r="BB45" s="33">
        <f t="shared" si="73"/>
        <v>0</v>
      </c>
      <c r="BC45" s="33">
        <f t="shared" si="74"/>
        <v>0</v>
      </c>
      <c r="BD45" s="34">
        <f t="shared" si="75"/>
        <v>0</v>
      </c>
      <c r="BF45" s="39"/>
      <c r="BG45" s="36" t="str">
        <f t="shared" si="25"/>
        <v/>
      </c>
      <c r="BH45" s="458"/>
      <c r="BI45" s="275">
        <f t="shared" si="76"/>
        <v>0</v>
      </c>
      <c r="BJ45" s="458"/>
      <c r="BK45" s="65">
        <f t="shared" si="77"/>
        <v>0</v>
      </c>
      <c r="BL45" s="32">
        <f t="shared" si="78"/>
        <v>0.104</v>
      </c>
      <c r="BM45" s="459"/>
      <c r="BN45" s="33">
        <f t="shared" si="79"/>
        <v>0</v>
      </c>
      <c r="BO45" s="458" t="s">
        <v>163</v>
      </c>
      <c r="BP45" s="33">
        <f t="shared" si="80"/>
        <v>0</v>
      </c>
      <c r="BQ45" s="33">
        <f t="shared" si="81"/>
        <v>0</v>
      </c>
      <c r="BR45" s="34">
        <f t="shared" si="82"/>
        <v>0</v>
      </c>
      <c r="BT45" s="39"/>
      <c r="BU45" s="36" t="str">
        <f t="shared" si="32"/>
        <v/>
      </c>
      <c r="BV45" s="458"/>
      <c r="BW45" s="275">
        <f t="shared" si="83"/>
        <v>0</v>
      </c>
      <c r="BX45" s="458"/>
      <c r="BY45" s="65">
        <f t="shared" si="84"/>
        <v>0</v>
      </c>
      <c r="BZ45" s="32">
        <f t="shared" si="85"/>
        <v>0.104</v>
      </c>
      <c r="CA45" s="459"/>
      <c r="CB45" s="33">
        <f t="shared" si="86"/>
        <v>0</v>
      </c>
      <c r="CC45" s="458" t="s">
        <v>163</v>
      </c>
      <c r="CD45" s="33">
        <f t="shared" si="87"/>
        <v>0</v>
      </c>
      <c r="CE45" s="33">
        <f t="shared" si="88"/>
        <v>0</v>
      </c>
      <c r="CF45" s="34">
        <f t="shared" si="89"/>
        <v>0</v>
      </c>
    </row>
    <row r="46" spans="3:84" ht="18" hidden="1" customHeight="1" x14ac:dyDescent="0.35">
      <c r="C46" s="457"/>
      <c r="D46" s="458"/>
      <c r="E46" s="458"/>
      <c r="F46" s="458"/>
      <c r="G46" s="459"/>
      <c r="H46" s="32">
        <f t="shared" si="51"/>
        <v>0.104</v>
      </c>
      <c r="I46" s="459"/>
      <c r="J46" s="33">
        <f t="shared" si="52"/>
        <v>0</v>
      </c>
      <c r="K46" s="458" t="s">
        <v>163</v>
      </c>
      <c r="L46" s="33">
        <f t="shared" si="39"/>
        <v>0</v>
      </c>
      <c r="M46" s="33">
        <f t="shared" si="53"/>
        <v>0</v>
      </c>
      <c r="N46" s="34">
        <f t="shared" si="54"/>
        <v>0</v>
      </c>
      <c r="P46" s="39"/>
      <c r="Q46" s="36" t="str">
        <f t="shared" si="4"/>
        <v/>
      </c>
      <c r="R46" s="458"/>
      <c r="S46" s="275">
        <f t="shared" si="55"/>
        <v>0</v>
      </c>
      <c r="T46" s="458"/>
      <c r="U46" s="65">
        <f t="shared" si="56"/>
        <v>0</v>
      </c>
      <c r="V46" s="32">
        <f t="shared" si="57"/>
        <v>0.104</v>
      </c>
      <c r="W46" s="459"/>
      <c r="X46" s="33">
        <f t="shared" si="58"/>
        <v>0</v>
      </c>
      <c r="Y46" s="458" t="s">
        <v>163</v>
      </c>
      <c r="Z46" s="33">
        <f t="shared" si="59"/>
        <v>0</v>
      </c>
      <c r="AA46" s="33">
        <f t="shared" si="60"/>
        <v>0</v>
      </c>
      <c r="AB46" s="34">
        <f t="shared" si="61"/>
        <v>0</v>
      </c>
      <c r="AD46" s="39"/>
      <c r="AE46" s="36" t="str">
        <f t="shared" si="11"/>
        <v/>
      </c>
      <c r="AF46" s="458"/>
      <c r="AG46" s="275">
        <f t="shared" si="62"/>
        <v>0</v>
      </c>
      <c r="AH46" s="458"/>
      <c r="AI46" s="65">
        <f t="shared" si="63"/>
        <v>0</v>
      </c>
      <c r="AJ46" s="32">
        <f t="shared" si="64"/>
        <v>0.104</v>
      </c>
      <c r="AK46" s="459"/>
      <c r="AL46" s="33">
        <f t="shared" si="65"/>
        <v>0</v>
      </c>
      <c r="AM46" s="458" t="s">
        <v>163</v>
      </c>
      <c r="AN46" s="33">
        <f t="shared" si="66"/>
        <v>0</v>
      </c>
      <c r="AO46" s="33">
        <f t="shared" si="67"/>
        <v>0</v>
      </c>
      <c r="AP46" s="34">
        <f t="shared" si="68"/>
        <v>0</v>
      </c>
      <c r="AR46" s="39"/>
      <c r="AS46" s="36" t="str">
        <f t="shared" si="18"/>
        <v/>
      </c>
      <c r="AT46" s="458"/>
      <c r="AU46" s="275">
        <f t="shared" si="69"/>
        <v>0</v>
      </c>
      <c r="AV46" s="458"/>
      <c r="AW46" s="65">
        <f t="shared" si="70"/>
        <v>0</v>
      </c>
      <c r="AX46" s="32">
        <f t="shared" si="71"/>
        <v>0.104</v>
      </c>
      <c r="AY46" s="459"/>
      <c r="AZ46" s="33">
        <f t="shared" si="72"/>
        <v>0</v>
      </c>
      <c r="BA46" s="458" t="s">
        <v>163</v>
      </c>
      <c r="BB46" s="33">
        <f t="shared" si="73"/>
        <v>0</v>
      </c>
      <c r="BC46" s="33">
        <f t="shared" si="74"/>
        <v>0</v>
      </c>
      <c r="BD46" s="34">
        <f t="shared" si="75"/>
        <v>0</v>
      </c>
      <c r="BF46" s="39"/>
      <c r="BG46" s="36" t="str">
        <f t="shared" si="25"/>
        <v/>
      </c>
      <c r="BH46" s="458"/>
      <c r="BI46" s="275">
        <f t="shared" si="76"/>
        <v>0</v>
      </c>
      <c r="BJ46" s="458"/>
      <c r="BK46" s="65">
        <f t="shared" si="77"/>
        <v>0</v>
      </c>
      <c r="BL46" s="32">
        <f t="shared" si="78"/>
        <v>0.104</v>
      </c>
      <c r="BM46" s="459"/>
      <c r="BN46" s="33">
        <f t="shared" si="79"/>
        <v>0</v>
      </c>
      <c r="BO46" s="458" t="s">
        <v>163</v>
      </c>
      <c r="BP46" s="33">
        <f t="shared" si="80"/>
        <v>0</v>
      </c>
      <c r="BQ46" s="33">
        <f t="shared" si="81"/>
        <v>0</v>
      </c>
      <c r="BR46" s="34">
        <f t="shared" si="82"/>
        <v>0</v>
      </c>
      <c r="BT46" s="39"/>
      <c r="BU46" s="36" t="str">
        <f t="shared" si="32"/>
        <v/>
      </c>
      <c r="BV46" s="458"/>
      <c r="BW46" s="275">
        <f t="shared" si="83"/>
        <v>0</v>
      </c>
      <c r="BX46" s="458"/>
      <c r="BY46" s="65">
        <f t="shared" si="84"/>
        <v>0</v>
      </c>
      <c r="BZ46" s="32">
        <f t="shared" si="85"/>
        <v>0.104</v>
      </c>
      <c r="CA46" s="459"/>
      <c r="CB46" s="33">
        <f t="shared" si="86"/>
        <v>0</v>
      </c>
      <c r="CC46" s="458" t="s">
        <v>163</v>
      </c>
      <c r="CD46" s="33">
        <f t="shared" si="87"/>
        <v>0</v>
      </c>
      <c r="CE46" s="33">
        <f t="shared" si="88"/>
        <v>0</v>
      </c>
      <c r="CF46" s="34">
        <f t="shared" si="89"/>
        <v>0</v>
      </c>
    </row>
    <row r="47" spans="3:84" ht="18" hidden="1" customHeight="1" x14ac:dyDescent="0.35">
      <c r="C47" s="457"/>
      <c r="D47" s="458"/>
      <c r="E47" s="458"/>
      <c r="F47" s="458"/>
      <c r="G47" s="459"/>
      <c r="H47" s="32">
        <f t="shared" si="51"/>
        <v>0.104</v>
      </c>
      <c r="I47" s="459"/>
      <c r="J47" s="33">
        <f t="shared" si="52"/>
        <v>0</v>
      </c>
      <c r="K47" s="458" t="s">
        <v>163</v>
      </c>
      <c r="L47" s="33">
        <f t="shared" si="39"/>
        <v>0</v>
      </c>
      <c r="M47" s="33">
        <f t="shared" si="53"/>
        <v>0</v>
      </c>
      <c r="N47" s="34">
        <f t="shared" si="54"/>
        <v>0</v>
      </c>
      <c r="P47" s="39"/>
      <c r="Q47" s="36" t="str">
        <f t="shared" si="4"/>
        <v/>
      </c>
      <c r="R47" s="458"/>
      <c r="S47" s="275">
        <f t="shared" si="55"/>
        <v>0</v>
      </c>
      <c r="T47" s="458"/>
      <c r="U47" s="65">
        <f t="shared" si="56"/>
        <v>0</v>
      </c>
      <c r="V47" s="32">
        <f t="shared" si="57"/>
        <v>0.104</v>
      </c>
      <c r="W47" s="459"/>
      <c r="X47" s="33">
        <f t="shared" si="58"/>
        <v>0</v>
      </c>
      <c r="Y47" s="458" t="s">
        <v>163</v>
      </c>
      <c r="Z47" s="33">
        <f t="shared" si="59"/>
        <v>0</v>
      </c>
      <c r="AA47" s="33">
        <f t="shared" si="60"/>
        <v>0</v>
      </c>
      <c r="AB47" s="34">
        <f t="shared" si="61"/>
        <v>0</v>
      </c>
      <c r="AD47" s="39"/>
      <c r="AE47" s="36" t="str">
        <f t="shared" si="11"/>
        <v/>
      </c>
      <c r="AF47" s="458"/>
      <c r="AG47" s="275">
        <f t="shared" si="62"/>
        <v>0</v>
      </c>
      <c r="AH47" s="458"/>
      <c r="AI47" s="65">
        <f t="shared" si="63"/>
        <v>0</v>
      </c>
      <c r="AJ47" s="32">
        <f t="shared" si="64"/>
        <v>0.104</v>
      </c>
      <c r="AK47" s="459"/>
      <c r="AL47" s="33">
        <f t="shared" si="65"/>
        <v>0</v>
      </c>
      <c r="AM47" s="458" t="s">
        <v>163</v>
      </c>
      <c r="AN47" s="33">
        <f t="shared" si="66"/>
        <v>0</v>
      </c>
      <c r="AO47" s="33">
        <f t="shared" si="67"/>
        <v>0</v>
      </c>
      <c r="AP47" s="34">
        <f t="shared" si="68"/>
        <v>0</v>
      </c>
      <c r="AR47" s="39"/>
      <c r="AS47" s="36" t="str">
        <f t="shared" si="18"/>
        <v/>
      </c>
      <c r="AT47" s="458"/>
      <c r="AU47" s="275">
        <f t="shared" si="69"/>
        <v>0</v>
      </c>
      <c r="AV47" s="458"/>
      <c r="AW47" s="65">
        <f t="shared" si="70"/>
        <v>0</v>
      </c>
      <c r="AX47" s="32">
        <f t="shared" si="71"/>
        <v>0.104</v>
      </c>
      <c r="AY47" s="459"/>
      <c r="AZ47" s="33">
        <f t="shared" si="72"/>
        <v>0</v>
      </c>
      <c r="BA47" s="458" t="s">
        <v>163</v>
      </c>
      <c r="BB47" s="33">
        <f t="shared" si="73"/>
        <v>0</v>
      </c>
      <c r="BC47" s="33">
        <f t="shared" si="74"/>
        <v>0</v>
      </c>
      <c r="BD47" s="34">
        <f t="shared" si="75"/>
        <v>0</v>
      </c>
      <c r="BF47" s="39"/>
      <c r="BG47" s="36" t="str">
        <f t="shared" si="25"/>
        <v/>
      </c>
      <c r="BH47" s="458"/>
      <c r="BI47" s="275">
        <f t="shared" si="76"/>
        <v>0</v>
      </c>
      <c r="BJ47" s="458"/>
      <c r="BK47" s="65">
        <f t="shared" si="77"/>
        <v>0</v>
      </c>
      <c r="BL47" s="32">
        <f t="shared" si="78"/>
        <v>0.104</v>
      </c>
      <c r="BM47" s="459"/>
      <c r="BN47" s="33">
        <f t="shared" si="79"/>
        <v>0</v>
      </c>
      <c r="BO47" s="458" t="s">
        <v>163</v>
      </c>
      <c r="BP47" s="33">
        <f t="shared" si="80"/>
        <v>0</v>
      </c>
      <c r="BQ47" s="33">
        <f t="shared" si="81"/>
        <v>0</v>
      </c>
      <c r="BR47" s="34">
        <f t="shared" si="82"/>
        <v>0</v>
      </c>
      <c r="BT47" s="39"/>
      <c r="BU47" s="36" t="str">
        <f t="shared" si="32"/>
        <v/>
      </c>
      <c r="BV47" s="458"/>
      <c r="BW47" s="275">
        <f t="shared" si="83"/>
        <v>0</v>
      </c>
      <c r="BX47" s="458"/>
      <c r="BY47" s="65">
        <f t="shared" si="84"/>
        <v>0</v>
      </c>
      <c r="BZ47" s="32">
        <f t="shared" si="85"/>
        <v>0.104</v>
      </c>
      <c r="CA47" s="459"/>
      <c r="CB47" s="33">
        <f t="shared" si="86"/>
        <v>0</v>
      </c>
      <c r="CC47" s="458" t="s">
        <v>163</v>
      </c>
      <c r="CD47" s="33">
        <f t="shared" si="87"/>
        <v>0</v>
      </c>
      <c r="CE47" s="33">
        <f t="shared" si="88"/>
        <v>0</v>
      </c>
      <c r="CF47" s="34">
        <f t="shared" si="89"/>
        <v>0</v>
      </c>
    </row>
    <row r="48" spans="3:84" ht="18" hidden="1" customHeight="1" x14ac:dyDescent="0.35">
      <c r="C48" s="457"/>
      <c r="D48" s="458"/>
      <c r="E48" s="458"/>
      <c r="F48" s="458"/>
      <c r="G48" s="459"/>
      <c r="H48" s="32">
        <f t="shared" si="51"/>
        <v>0.104</v>
      </c>
      <c r="I48" s="459"/>
      <c r="J48" s="33">
        <f t="shared" si="52"/>
        <v>0</v>
      </c>
      <c r="K48" s="458" t="s">
        <v>163</v>
      </c>
      <c r="L48" s="33">
        <f t="shared" si="39"/>
        <v>0</v>
      </c>
      <c r="M48" s="33">
        <f t="shared" si="53"/>
        <v>0</v>
      </c>
      <c r="N48" s="34">
        <f t="shared" si="54"/>
        <v>0</v>
      </c>
      <c r="P48" s="39"/>
      <c r="Q48" s="36" t="str">
        <f t="shared" si="4"/>
        <v/>
      </c>
      <c r="R48" s="458"/>
      <c r="S48" s="275">
        <f t="shared" si="55"/>
        <v>0</v>
      </c>
      <c r="T48" s="458"/>
      <c r="U48" s="65">
        <f t="shared" si="56"/>
        <v>0</v>
      </c>
      <c r="V48" s="32">
        <f t="shared" si="57"/>
        <v>0.104</v>
      </c>
      <c r="W48" s="459"/>
      <c r="X48" s="33">
        <f t="shared" si="58"/>
        <v>0</v>
      </c>
      <c r="Y48" s="458" t="s">
        <v>163</v>
      </c>
      <c r="Z48" s="33">
        <f t="shared" si="59"/>
        <v>0</v>
      </c>
      <c r="AA48" s="33">
        <f t="shared" si="60"/>
        <v>0</v>
      </c>
      <c r="AB48" s="34">
        <f t="shared" si="61"/>
        <v>0</v>
      </c>
      <c r="AD48" s="39"/>
      <c r="AE48" s="36" t="str">
        <f t="shared" si="11"/>
        <v/>
      </c>
      <c r="AF48" s="458"/>
      <c r="AG48" s="275">
        <f t="shared" si="62"/>
        <v>0</v>
      </c>
      <c r="AH48" s="458"/>
      <c r="AI48" s="65">
        <f t="shared" si="63"/>
        <v>0</v>
      </c>
      <c r="AJ48" s="32">
        <f t="shared" si="64"/>
        <v>0.104</v>
      </c>
      <c r="AK48" s="459"/>
      <c r="AL48" s="33">
        <f t="shared" si="65"/>
        <v>0</v>
      </c>
      <c r="AM48" s="458" t="s">
        <v>163</v>
      </c>
      <c r="AN48" s="33">
        <f t="shared" si="66"/>
        <v>0</v>
      </c>
      <c r="AO48" s="33">
        <f t="shared" si="67"/>
        <v>0</v>
      </c>
      <c r="AP48" s="34">
        <f t="shared" si="68"/>
        <v>0</v>
      </c>
      <c r="AR48" s="39"/>
      <c r="AS48" s="36" t="str">
        <f t="shared" si="18"/>
        <v/>
      </c>
      <c r="AT48" s="458"/>
      <c r="AU48" s="275">
        <f t="shared" si="69"/>
        <v>0</v>
      </c>
      <c r="AV48" s="458"/>
      <c r="AW48" s="65">
        <f t="shared" si="70"/>
        <v>0</v>
      </c>
      <c r="AX48" s="32">
        <f t="shared" si="71"/>
        <v>0.104</v>
      </c>
      <c r="AY48" s="459"/>
      <c r="AZ48" s="33">
        <f t="shared" si="72"/>
        <v>0</v>
      </c>
      <c r="BA48" s="458" t="s">
        <v>163</v>
      </c>
      <c r="BB48" s="33">
        <f t="shared" si="73"/>
        <v>0</v>
      </c>
      <c r="BC48" s="33">
        <f t="shared" si="74"/>
        <v>0</v>
      </c>
      <c r="BD48" s="34">
        <f t="shared" si="75"/>
        <v>0</v>
      </c>
      <c r="BF48" s="39"/>
      <c r="BG48" s="36" t="str">
        <f t="shared" si="25"/>
        <v/>
      </c>
      <c r="BH48" s="458"/>
      <c r="BI48" s="275">
        <f t="shared" si="76"/>
        <v>0</v>
      </c>
      <c r="BJ48" s="458"/>
      <c r="BK48" s="65">
        <f t="shared" si="77"/>
        <v>0</v>
      </c>
      <c r="BL48" s="32">
        <f t="shared" si="78"/>
        <v>0.104</v>
      </c>
      <c r="BM48" s="459"/>
      <c r="BN48" s="33">
        <f t="shared" si="79"/>
        <v>0</v>
      </c>
      <c r="BO48" s="458" t="s">
        <v>163</v>
      </c>
      <c r="BP48" s="33">
        <f t="shared" si="80"/>
        <v>0</v>
      </c>
      <c r="BQ48" s="33">
        <f t="shared" si="81"/>
        <v>0</v>
      </c>
      <c r="BR48" s="34">
        <f t="shared" si="82"/>
        <v>0</v>
      </c>
      <c r="BT48" s="39"/>
      <c r="BU48" s="36" t="str">
        <f t="shared" si="32"/>
        <v/>
      </c>
      <c r="BV48" s="458"/>
      <c r="BW48" s="275">
        <f t="shared" si="83"/>
        <v>0</v>
      </c>
      <c r="BX48" s="458"/>
      <c r="BY48" s="65">
        <f t="shared" si="84"/>
        <v>0</v>
      </c>
      <c r="BZ48" s="32">
        <f t="shared" si="85"/>
        <v>0.104</v>
      </c>
      <c r="CA48" s="459"/>
      <c r="CB48" s="33">
        <f t="shared" si="86"/>
        <v>0</v>
      </c>
      <c r="CC48" s="458" t="s">
        <v>163</v>
      </c>
      <c r="CD48" s="33">
        <f t="shared" si="87"/>
        <v>0</v>
      </c>
      <c r="CE48" s="33">
        <f t="shared" si="88"/>
        <v>0</v>
      </c>
      <c r="CF48" s="34">
        <f t="shared" si="89"/>
        <v>0</v>
      </c>
    </row>
    <row r="49" spans="2:84" ht="18" hidden="1" customHeight="1" x14ac:dyDescent="0.35">
      <c r="C49" s="457"/>
      <c r="D49" s="458"/>
      <c r="E49" s="458"/>
      <c r="F49" s="458"/>
      <c r="G49" s="459"/>
      <c r="H49" s="32">
        <f t="shared" si="51"/>
        <v>0.104</v>
      </c>
      <c r="I49" s="459"/>
      <c r="J49" s="33">
        <f t="shared" si="52"/>
        <v>0</v>
      </c>
      <c r="K49" s="458" t="s">
        <v>163</v>
      </c>
      <c r="L49" s="33">
        <f t="shared" si="39"/>
        <v>0</v>
      </c>
      <c r="M49" s="33">
        <f t="shared" si="53"/>
        <v>0</v>
      </c>
      <c r="N49" s="34">
        <f t="shared" si="54"/>
        <v>0</v>
      </c>
      <c r="P49" s="39"/>
      <c r="Q49" s="36" t="str">
        <f t="shared" si="4"/>
        <v/>
      </c>
      <c r="R49" s="458"/>
      <c r="S49" s="275">
        <f t="shared" si="55"/>
        <v>0</v>
      </c>
      <c r="T49" s="458"/>
      <c r="U49" s="65">
        <f t="shared" si="56"/>
        <v>0</v>
      </c>
      <c r="V49" s="32">
        <f t="shared" si="57"/>
        <v>0.104</v>
      </c>
      <c r="W49" s="459"/>
      <c r="X49" s="33">
        <f t="shared" si="58"/>
        <v>0</v>
      </c>
      <c r="Y49" s="458" t="s">
        <v>163</v>
      </c>
      <c r="Z49" s="33">
        <f t="shared" si="59"/>
        <v>0</v>
      </c>
      <c r="AA49" s="33">
        <f t="shared" si="60"/>
        <v>0</v>
      </c>
      <c r="AB49" s="34">
        <f t="shared" si="61"/>
        <v>0</v>
      </c>
      <c r="AD49" s="39"/>
      <c r="AE49" s="36" t="str">
        <f t="shared" si="11"/>
        <v/>
      </c>
      <c r="AF49" s="458"/>
      <c r="AG49" s="275">
        <f t="shared" si="62"/>
        <v>0</v>
      </c>
      <c r="AH49" s="458"/>
      <c r="AI49" s="65">
        <f t="shared" si="63"/>
        <v>0</v>
      </c>
      <c r="AJ49" s="32">
        <f t="shared" si="64"/>
        <v>0.104</v>
      </c>
      <c r="AK49" s="459"/>
      <c r="AL49" s="33">
        <f t="shared" si="65"/>
        <v>0</v>
      </c>
      <c r="AM49" s="458" t="s">
        <v>163</v>
      </c>
      <c r="AN49" s="33">
        <f t="shared" si="66"/>
        <v>0</v>
      </c>
      <c r="AO49" s="33">
        <f t="shared" si="67"/>
        <v>0</v>
      </c>
      <c r="AP49" s="34">
        <f t="shared" si="68"/>
        <v>0</v>
      </c>
      <c r="AR49" s="39"/>
      <c r="AS49" s="36" t="str">
        <f t="shared" si="18"/>
        <v/>
      </c>
      <c r="AT49" s="458"/>
      <c r="AU49" s="275">
        <f t="shared" si="69"/>
        <v>0</v>
      </c>
      <c r="AV49" s="458"/>
      <c r="AW49" s="65">
        <f t="shared" si="70"/>
        <v>0</v>
      </c>
      <c r="AX49" s="32">
        <f t="shared" si="71"/>
        <v>0.104</v>
      </c>
      <c r="AY49" s="459"/>
      <c r="AZ49" s="33">
        <f t="shared" si="72"/>
        <v>0</v>
      </c>
      <c r="BA49" s="458" t="s">
        <v>163</v>
      </c>
      <c r="BB49" s="33">
        <f t="shared" si="73"/>
        <v>0</v>
      </c>
      <c r="BC49" s="33">
        <f t="shared" si="74"/>
        <v>0</v>
      </c>
      <c r="BD49" s="34">
        <f t="shared" si="75"/>
        <v>0</v>
      </c>
      <c r="BF49" s="39"/>
      <c r="BG49" s="36" t="str">
        <f t="shared" si="25"/>
        <v/>
      </c>
      <c r="BH49" s="458"/>
      <c r="BI49" s="275">
        <f t="shared" si="76"/>
        <v>0</v>
      </c>
      <c r="BJ49" s="458"/>
      <c r="BK49" s="65">
        <f t="shared" si="77"/>
        <v>0</v>
      </c>
      <c r="BL49" s="32">
        <f t="shared" si="78"/>
        <v>0.104</v>
      </c>
      <c r="BM49" s="459"/>
      <c r="BN49" s="33">
        <f t="shared" si="79"/>
        <v>0</v>
      </c>
      <c r="BO49" s="458" t="s">
        <v>163</v>
      </c>
      <c r="BP49" s="33">
        <f t="shared" si="80"/>
        <v>0</v>
      </c>
      <c r="BQ49" s="33">
        <f t="shared" si="81"/>
        <v>0</v>
      </c>
      <c r="BR49" s="34">
        <f t="shared" si="82"/>
        <v>0</v>
      </c>
      <c r="BT49" s="39"/>
      <c r="BU49" s="36" t="str">
        <f t="shared" si="32"/>
        <v/>
      </c>
      <c r="BV49" s="458"/>
      <c r="BW49" s="275">
        <f t="shared" si="83"/>
        <v>0</v>
      </c>
      <c r="BX49" s="458"/>
      <c r="BY49" s="65">
        <f t="shared" si="84"/>
        <v>0</v>
      </c>
      <c r="BZ49" s="32">
        <f t="shared" si="85"/>
        <v>0.104</v>
      </c>
      <c r="CA49" s="459"/>
      <c r="CB49" s="33">
        <f t="shared" si="86"/>
        <v>0</v>
      </c>
      <c r="CC49" s="458" t="s">
        <v>163</v>
      </c>
      <c r="CD49" s="33">
        <f t="shared" si="87"/>
        <v>0</v>
      </c>
      <c r="CE49" s="33">
        <f t="shared" si="88"/>
        <v>0</v>
      </c>
      <c r="CF49" s="34">
        <f t="shared" si="89"/>
        <v>0</v>
      </c>
    </row>
    <row r="50" spans="2:84" ht="18" hidden="1" customHeight="1" x14ac:dyDescent="0.35">
      <c r="C50" s="457"/>
      <c r="D50" s="458"/>
      <c r="E50" s="458"/>
      <c r="F50" s="458"/>
      <c r="G50" s="459"/>
      <c r="H50" s="32">
        <f t="shared" si="51"/>
        <v>0.104</v>
      </c>
      <c r="I50" s="459"/>
      <c r="J50" s="33">
        <f t="shared" si="52"/>
        <v>0</v>
      </c>
      <c r="K50" s="458" t="s">
        <v>163</v>
      </c>
      <c r="L50" s="33">
        <f t="shared" si="39"/>
        <v>0</v>
      </c>
      <c r="M50" s="33">
        <f t="shared" si="53"/>
        <v>0</v>
      </c>
      <c r="N50" s="34">
        <f t="shared" si="54"/>
        <v>0</v>
      </c>
      <c r="P50" s="39"/>
      <c r="Q50" s="36" t="str">
        <f t="shared" si="4"/>
        <v/>
      </c>
      <c r="R50" s="458"/>
      <c r="S50" s="275">
        <f t="shared" si="55"/>
        <v>0</v>
      </c>
      <c r="T50" s="458"/>
      <c r="U50" s="65">
        <f t="shared" si="56"/>
        <v>0</v>
      </c>
      <c r="V50" s="32">
        <f t="shared" si="57"/>
        <v>0.104</v>
      </c>
      <c r="W50" s="459"/>
      <c r="X50" s="33">
        <f t="shared" si="58"/>
        <v>0</v>
      </c>
      <c r="Y50" s="458" t="s">
        <v>163</v>
      </c>
      <c r="Z50" s="33">
        <f t="shared" si="59"/>
        <v>0</v>
      </c>
      <c r="AA50" s="33">
        <f t="shared" si="60"/>
        <v>0</v>
      </c>
      <c r="AB50" s="34">
        <f t="shared" si="61"/>
        <v>0</v>
      </c>
      <c r="AD50" s="39"/>
      <c r="AE50" s="36" t="str">
        <f t="shared" si="11"/>
        <v/>
      </c>
      <c r="AF50" s="458"/>
      <c r="AG50" s="275">
        <f t="shared" si="62"/>
        <v>0</v>
      </c>
      <c r="AH50" s="458"/>
      <c r="AI50" s="65">
        <f t="shared" si="63"/>
        <v>0</v>
      </c>
      <c r="AJ50" s="32">
        <f t="shared" si="64"/>
        <v>0.104</v>
      </c>
      <c r="AK50" s="459"/>
      <c r="AL50" s="33">
        <f t="shared" si="65"/>
        <v>0</v>
      </c>
      <c r="AM50" s="458" t="s">
        <v>163</v>
      </c>
      <c r="AN50" s="33">
        <f t="shared" si="66"/>
        <v>0</v>
      </c>
      <c r="AO50" s="33">
        <f t="shared" si="67"/>
        <v>0</v>
      </c>
      <c r="AP50" s="34">
        <f t="shared" si="68"/>
        <v>0</v>
      </c>
      <c r="AR50" s="39"/>
      <c r="AS50" s="36" t="str">
        <f t="shared" si="18"/>
        <v/>
      </c>
      <c r="AT50" s="458"/>
      <c r="AU50" s="275">
        <f t="shared" si="69"/>
        <v>0</v>
      </c>
      <c r="AV50" s="458"/>
      <c r="AW50" s="65">
        <f t="shared" si="70"/>
        <v>0</v>
      </c>
      <c r="AX50" s="32">
        <f t="shared" si="71"/>
        <v>0.104</v>
      </c>
      <c r="AY50" s="459"/>
      <c r="AZ50" s="33">
        <f t="shared" si="72"/>
        <v>0</v>
      </c>
      <c r="BA50" s="458" t="s">
        <v>163</v>
      </c>
      <c r="BB50" s="33">
        <f t="shared" si="73"/>
        <v>0</v>
      </c>
      <c r="BC50" s="33">
        <f t="shared" si="74"/>
        <v>0</v>
      </c>
      <c r="BD50" s="34">
        <f t="shared" si="75"/>
        <v>0</v>
      </c>
      <c r="BF50" s="39"/>
      <c r="BG50" s="36" t="str">
        <f t="shared" si="25"/>
        <v/>
      </c>
      <c r="BH50" s="458"/>
      <c r="BI50" s="275">
        <f t="shared" si="76"/>
        <v>0</v>
      </c>
      <c r="BJ50" s="458"/>
      <c r="BK50" s="65">
        <f t="shared" si="77"/>
        <v>0</v>
      </c>
      <c r="BL50" s="32">
        <f t="shared" si="78"/>
        <v>0.104</v>
      </c>
      <c r="BM50" s="459"/>
      <c r="BN50" s="33">
        <f t="shared" si="79"/>
        <v>0</v>
      </c>
      <c r="BO50" s="458" t="s">
        <v>163</v>
      </c>
      <c r="BP50" s="33">
        <f t="shared" si="80"/>
        <v>0</v>
      </c>
      <c r="BQ50" s="33">
        <f t="shared" si="81"/>
        <v>0</v>
      </c>
      <c r="BR50" s="34">
        <f t="shared" si="82"/>
        <v>0</v>
      </c>
      <c r="BT50" s="39"/>
      <c r="BU50" s="36" t="str">
        <f t="shared" si="32"/>
        <v/>
      </c>
      <c r="BV50" s="458"/>
      <c r="BW50" s="275">
        <f t="shared" si="83"/>
        <v>0</v>
      </c>
      <c r="BX50" s="458"/>
      <c r="BY50" s="65">
        <f t="shared" si="84"/>
        <v>0</v>
      </c>
      <c r="BZ50" s="32">
        <f t="shared" si="85"/>
        <v>0.104</v>
      </c>
      <c r="CA50" s="459"/>
      <c r="CB50" s="33">
        <f t="shared" si="86"/>
        <v>0</v>
      </c>
      <c r="CC50" s="458" t="s">
        <v>163</v>
      </c>
      <c r="CD50" s="33">
        <f t="shared" si="87"/>
        <v>0</v>
      </c>
      <c r="CE50" s="33">
        <f t="shared" si="88"/>
        <v>0</v>
      </c>
      <c r="CF50" s="34">
        <f t="shared" si="89"/>
        <v>0</v>
      </c>
    </row>
    <row r="51" spans="2:84" ht="18" hidden="1" customHeight="1" x14ac:dyDescent="0.35">
      <c r="C51" s="457"/>
      <c r="D51" s="458"/>
      <c r="E51" s="458"/>
      <c r="F51" s="458"/>
      <c r="G51" s="459"/>
      <c r="H51" s="32">
        <f t="shared" si="51"/>
        <v>0.104</v>
      </c>
      <c r="I51" s="459"/>
      <c r="J51" s="33">
        <f t="shared" si="52"/>
        <v>0</v>
      </c>
      <c r="K51" s="458" t="s">
        <v>163</v>
      </c>
      <c r="L51" s="33">
        <f t="shared" si="39"/>
        <v>0</v>
      </c>
      <c r="M51" s="33">
        <f t="shared" si="53"/>
        <v>0</v>
      </c>
      <c r="N51" s="34">
        <f t="shared" si="54"/>
        <v>0</v>
      </c>
      <c r="P51" s="39"/>
      <c r="Q51" s="36" t="str">
        <f t="shared" si="4"/>
        <v/>
      </c>
      <c r="R51" s="458"/>
      <c r="S51" s="275">
        <f t="shared" si="55"/>
        <v>0</v>
      </c>
      <c r="T51" s="458"/>
      <c r="U51" s="65">
        <f t="shared" si="56"/>
        <v>0</v>
      </c>
      <c r="V51" s="32">
        <f t="shared" si="57"/>
        <v>0.104</v>
      </c>
      <c r="W51" s="459"/>
      <c r="X51" s="33">
        <f t="shared" si="58"/>
        <v>0</v>
      </c>
      <c r="Y51" s="458" t="s">
        <v>163</v>
      </c>
      <c r="Z51" s="33">
        <f t="shared" si="59"/>
        <v>0</v>
      </c>
      <c r="AA51" s="33">
        <f t="shared" si="60"/>
        <v>0</v>
      </c>
      <c r="AB51" s="34">
        <f t="shared" si="61"/>
        <v>0</v>
      </c>
      <c r="AD51" s="39"/>
      <c r="AE51" s="36" t="str">
        <f t="shared" si="11"/>
        <v/>
      </c>
      <c r="AF51" s="458"/>
      <c r="AG51" s="275">
        <f t="shared" si="62"/>
        <v>0</v>
      </c>
      <c r="AH51" s="458"/>
      <c r="AI51" s="65">
        <f t="shared" si="63"/>
        <v>0</v>
      </c>
      <c r="AJ51" s="32">
        <f t="shared" si="64"/>
        <v>0.104</v>
      </c>
      <c r="AK51" s="459"/>
      <c r="AL51" s="33">
        <f t="shared" si="65"/>
        <v>0</v>
      </c>
      <c r="AM51" s="458" t="s">
        <v>163</v>
      </c>
      <c r="AN51" s="33">
        <f t="shared" si="66"/>
        <v>0</v>
      </c>
      <c r="AO51" s="33">
        <f t="shared" si="67"/>
        <v>0</v>
      </c>
      <c r="AP51" s="34">
        <f t="shared" si="68"/>
        <v>0</v>
      </c>
      <c r="AR51" s="39"/>
      <c r="AS51" s="36" t="str">
        <f t="shared" si="18"/>
        <v/>
      </c>
      <c r="AT51" s="458"/>
      <c r="AU51" s="275">
        <f t="shared" si="69"/>
        <v>0</v>
      </c>
      <c r="AV51" s="458"/>
      <c r="AW51" s="65">
        <f t="shared" si="70"/>
        <v>0</v>
      </c>
      <c r="AX51" s="32">
        <f t="shared" si="71"/>
        <v>0.104</v>
      </c>
      <c r="AY51" s="459"/>
      <c r="AZ51" s="33">
        <f t="shared" si="72"/>
        <v>0</v>
      </c>
      <c r="BA51" s="458" t="s">
        <v>163</v>
      </c>
      <c r="BB51" s="33">
        <f t="shared" si="73"/>
        <v>0</v>
      </c>
      <c r="BC51" s="33">
        <f t="shared" si="74"/>
        <v>0</v>
      </c>
      <c r="BD51" s="34">
        <f t="shared" si="75"/>
        <v>0</v>
      </c>
      <c r="BF51" s="39"/>
      <c r="BG51" s="36" t="str">
        <f t="shared" si="25"/>
        <v/>
      </c>
      <c r="BH51" s="458"/>
      <c r="BI51" s="275">
        <f t="shared" si="76"/>
        <v>0</v>
      </c>
      <c r="BJ51" s="458"/>
      <c r="BK51" s="65">
        <f t="shared" si="77"/>
        <v>0</v>
      </c>
      <c r="BL51" s="32">
        <f t="shared" si="78"/>
        <v>0.104</v>
      </c>
      <c r="BM51" s="459"/>
      <c r="BN51" s="33">
        <f t="shared" si="79"/>
        <v>0</v>
      </c>
      <c r="BO51" s="458" t="s">
        <v>163</v>
      </c>
      <c r="BP51" s="33">
        <f t="shared" si="80"/>
        <v>0</v>
      </c>
      <c r="BQ51" s="33">
        <f t="shared" si="81"/>
        <v>0</v>
      </c>
      <c r="BR51" s="34">
        <f t="shared" si="82"/>
        <v>0</v>
      </c>
      <c r="BT51" s="39"/>
      <c r="BU51" s="36" t="str">
        <f t="shared" si="32"/>
        <v/>
      </c>
      <c r="BV51" s="458"/>
      <c r="BW51" s="275">
        <f t="shared" si="83"/>
        <v>0</v>
      </c>
      <c r="BX51" s="458"/>
      <c r="BY51" s="65">
        <f t="shared" si="84"/>
        <v>0</v>
      </c>
      <c r="BZ51" s="32">
        <f t="shared" si="85"/>
        <v>0.104</v>
      </c>
      <c r="CA51" s="459"/>
      <c r="CB51" s="33">
        <f t="shared" si="86"/>
        <v>0</v>
      </c>
      <c r="CC51" s="458" t="s">
        <v>163</v>
      </c>
      <c r="CD51" s="33">
        <f t="shared" si="87"/>
        <v>0</v>
      </c>
      <c r="CE51" s="33">
        <f t="shared" si="88"/>
        <v>0</v>
      </c>
      <c r="CF51" s="34">
        <f t="shared" si="89"/>
        <v>0</v>
      </c>
    </row>
    <row r="52" spans="2:84" ht="18" hidden="1" customHeight="1" x14ac:dyDescent="0.35">
      <c r="C52" s="457"/>
      <c r="D52" s="458"/>
      <c r="E52" s="458"/>
      <c r="F52" s="458"/>
      <c r="G52" s="459"/>
      <c r="H52" s="32">
        <f t="shared" si="51"/>
        <v>0.104</v>
      </c>
      <c r="I52" s="459"/>
      <c r="J52" s="33">
        <f t="shared" si="52"/>
        <v>0</v>
      </c>
      <c r="K52" s="458" t="s">
        <v>163</v>
      </c>
      <c r="L52" s="33">
        <f t="shared" si="39"/>
        <v>0</v>
      </c>
      <c r="M52" s="33">
        <f t="shared" si="53"/>
        <v>0</v>
      </c>
      <c r="N52" s="34">
        <f t="shared" si="54"/>
        <v>0</v>
      </c>
      <c r="P52" s="39"/>
      <c r="Q52" s="36" t="str">
        <f t="shared" si="4"/>
        <v/>
      </c>
      <c r="R52" s="458"/>
      <c r="S52" s="275">
        <f t="shared" si="55"/>
        <v>0</v>
      </c>
      <c r="T52" s="458"/>
      <c r="U52" s="65">
        <f t="shared" si="56"/>
        <v>0</v>
      </c>
      <c r="V52" s="32">
        <f t="shared" si="57"/>
        <v>0.104</v>
      </c>
      <c r="W52" s="459"/>
      <c r="X52" s="33">
        <f t="shared" si="58"/>
        <v>0</v>
      </c>
      <c r="Y52" s="458" t="s">
        <v>163</v>
      </c>
      <c r="Z52" s="33">
        <f t="shared" si="59"/>
        <v>0</v>
      </c>
      <c r="AA52" s="33">
        <f t="shared" si="60"/>
        <v>0</v>
      </c>
      <c r="AB52" s="34">
        <f t="shared" si="61"/>
        <v>0</v>
      </c>
      <c r="AD52" s="39"/>
      <c r="AE52" s="36" t="str">
        <f t="shared" si="11"/>
        <v/>
      </c>
      <c r="AF52" s="458"/>
      <c r="AG52" s="275">
        <f t="shared" si="62"/>
        <v>0</v>
      </c>
      <c r="AH52" s="458"/>
      <c r="AI52" s="65">
        <f t="shared" si="63"/>
        <v>0</v>
      </c>
      <c r="AJ52" s="32">
        <f t="shared" si="64"/>
        <v>0.104</v>
      </c>
      <c r="AK52" s="459"/>
      <c r="AL52" s="33">
        <f t="shared" si="65"/>
        <v>0</v>
      </c>
      <c r="AM52" s="458" t="s">
        <v>163</v>
      </c>
      <c r="AN52" s="33">
        <f t="shared" si="66"/>
        <v>0</v>
      </c>
      <c r="AO52" s="33">
        <f t="shared" si="67"/>
        <v>0</v>
      </c>
      <c r="AP52" s="34">
        <f t="shared" si="68"/>
        <v>0</v>
      </c>
      <c r="AR52" s="39"/>
      <c r="AS52" s="36" t="str">
        <f t="shared" si="18"/>
        <v/>
      </c>
      <c r="AT52" s="458"/>
      <c r="AU52" s="275">
        <f t="shared" si="69"/>
        <v>0</v>
      </c>
      <c r="AV52" s="458"/>
      <c r="AW52" s="65">
        <f t="shared" si="70"/>
        <v>0</v>
      </c>
      <c r="AX52" s="32">
        <f t="shared" si="71"/>
        <v>0.104</v>
      </c>
      <c r="AY52" s="459"/>
      <c r="AZ52" s="33">
        <f t="shared" si="72"/>
        <v>0</v>
      </c>
      <c r="BA52" s="458" t="s">
        <v>163</v>
      </c>
      <c r="BB52" s="33">
        <f t="shared" si="73"/>
        <v>0</v>
      </c>
      <c r="BC52" s="33">
        <f t="shared" si="74"/>
        <v>0</v>
      </c>
      <c r="BD52" s="34">
        <f t="shared" si="75"/>
        <v>0</v>
      </c>
      <c r="BF52" s="39"/>
      <c r="BG52" s="36" t="str">
        <f t="shared" si="25"/>
        <v/>
      </c>
      <c r="BH52" s="458"/>
      <c r="BI52" s="275">
        <f t="shared" si="76"/>
        <v>0</v>
      </c>
      <c r="BJ52" s="458"/>
      <c r="BK52" s="65">
        <f t="shared" si="77"/>
        <v>0</v>
      </c>
      <c r="BL52" s="32">
        <f t="shared" si="78"/>
        <v>0.104</v>
      </c>
      <c r="BM52" s="459"/>
      <c r="BN52" s="33">
        <f t="shared" si="79"/>
        <v>0</v>
      </c>
      <c r="BO52" s="458" t="s">
        <v>163</v>
      </c>
      <c r="BP52" s="33">
        <f t="shared" si="80"/>
        <v>0</v>
      </c>
      <c r="BQ52" s="33">
        <f t="shared" si="81"/>
        <v>0</v>
      </c>
      <c r="BR52" s="34">
        <f t="shared" si="82"/>
        <v>0</v>
      </c>
      <c r="BT52" s="39"/>
      <c r="BU52" s="36" t="str">
        <f t="shared" si="32"/>
        <v/>
      </c>
      <c r="BV52" s="458"/>
      <c r="BW52" s="275">
        <f t="shared" si="83"/>
        <v>0</v>
      </c>
      <c r="BX52" s="458"/>
      <c r="BY52" s="65">
        <f t="shared" si="84"/>
        <v>0</v>
      </c>
      <c r="BZ52" s="32">
        <f t="shared" si="85"/>
        <v>0.104</v>
      </c>
      <c r="CA52" s="459"/>
      <c r="CB52" s="33">
        <f t="shared" si="86"/>
        <v>0</v>
      </c>
      <c r="CC52" s="458" t="s">
        <v>163</v>
      </c>
      <c r="CD52" s="33">
        <f t="shared" si="87"/>
        <v>0</v>
      </c>
      <c r="CE52" s="33">
        <f t="shared" si="88"/>
        <v>0</v>
      </c>
      <c r="CF52" s="34">
        <f t="shared" si="89"/>
        <v>0</v>
      </c>
    </row>
    <row r="53" spans="2:84" ht="18" hidden="1" customHeight="1" x14ac:dyDescent="0.35">
      <c r="C53" s="457"/>
      <c r="D53" s="458"/>
      <c r="E53" s="458"/>
      <c r="F53" s="458"/>
      <c r="G53" s="459"/>
      <c r="H53" s="32">
        <f t="shared" si="51"/>
        <v>0.104</v>
      </c>
      <c r="I53" s="459"/>
      <c r="J53" s="33">
        <f t="shared" si="52"/>
        <v>0</v>
      </c>
      <c r="K53" s="458" t="s">
        <v>163</v>
      </c>
      <c r="L53" s="33">
        <f t="shared" si="39"/>
        <v>0</v>
      </c>
      <c r="M53" s="33">
        <f t="shared" si="53"/>
        <v>0</v>
      </c>
      <c r="N53" s="34">
        <f t="shared" si="54"/>
        <v>0</v>
      </c>
      <c r="P53" s="39"/>
      <c r="Q53" s="36" t="str">
        <f t="shared" si="4"/>
        <v/>
      </c>
      <c r="R53" s="458"/>
      <c r="S53" s="275">
        <f t="shared" si="55"/>
        <v>0</v>
      </c>
      <c r="T53" s="458"/>
      <c r="U53" s="65">
        <f t="shared" si="56"/>
        <v>0</v>
      </c>
      <c r="V53" s="32">
        <f t="shared" si="57"/>
        <v>0.104</v>
      </c>
      <c r="W53" s="459"/>
      <c r="X53" s="33">
        <f t="shared" si="58"/>
        <v>0</v>
      </c>
      <c r="Y53" s="458" t="s">
        <v>163</v>
      </c>
      <c r="Z53" s="33">
        <f t="shared" si="59"/>
        <v>0</v>
      </c>
      <c r="AA53" s="33">
        <f t="shared" si="60"/>
        <v>0</v>
      </c>
      <c r="AB53" s="34">
        <f t="shared" si="61"/>
        <v>0</v>
      </c>
      <c r="AD53" s="39"/>
      <c r="AE53" s="36" t="str">
        <f t="shared" si="11"/>
        <v/>
      </c>
      <c r="AF53" s="458"/>
      <c r="AG53" s="275">
        <f t="shared" si="62"/>
        <v>0</v>
      </c>
      <c r="AH53" s="458"/>
      <c r="AI53" s="65">
        <f t="shared" si="63"/>
        <v>0</v>
      </c>
      <c r="AJ53" s="32">
        <f t="shared" si="64"/>
        <v>0.104</v>
      </c>
      <c r="AK53" s="459"/>
      <c r="AL53" s="33">
        <f t="shared" si="65"/>
        <v>0</v>
      </c>
      <c r="AM53" s="458" t="s">
        <v>163</v>
      </c>
      <c r="AN53" s="33">
        <f t="shared" si="66"/>
        <v>0</v>
      </c>
      <c r="AO53" s="33">
        <f t="shared" si="67"/>
        <v>0</v>
      </c>
      <c r="AP53" s="34">
        <f t="shared" si="68"/>
        <v>0</v>
      </c>
      <c r="AR53" s="39"/>
      <c r="AS53" s="36" t="str">
        <f t="shared" si="18"/>
        <v/>
      </c>
      <c r="AT53" s="458"/>
      <c r="AU53" s="275">
        <f t="shared" si="69"/>
        <v>0</v>
      </c>
      <c r="AV53" s="458"/>
      <c r="AW53" s="65">
        <f t="shared" si="70"/>
        <v>0</v>
      </c>
      <c r="AX53" s="32">
        <f t="shared" si="71"/>
        <v>0.104</v>
      </c>
      <c r="AY53" s="459"/>
      <c r="AZ53" s="33">
        <f t="shared" si="72"/>
        <v>0</v>
      </c>
      <c r="BA53" s="458" t="s">
        <v>163</v>
      </c>
      <c r="BB53" s="33">
        <f t="shared" si="73"/>
        <v>0</v>
      </c>
      <c r="BC53" s="33">
        <f t="shared" si="74"/>
        <v>0</v>
      </c>
      <c r="BD53" s="34">
        <f t="shared" si="75"/>
        <v>0</v>
      </c>
      <c r="BF53" s="39"/>
      <c r="BG53" s="36" t="str">
        <f t="shared" si="25"/>
        <v/>
      </c>
      <c r="BH53" s="458"/>
      <c r="BI53" s="275">
        <f t="shared" si="76"/>
        <v>0</v>
      </c>
      <c r="BJ53" s="458"/>
      <c r="BK53" s="65">
        <f t="shared" si="77"/>
        <v>0</v>
      </c>
      <c r="BL53" s="32">
        <f t="shared" si="78"/>
        <v>0.104</v>
      </c>
      <c r="BM53" s="459"/>
      <c r="BN53" s="33">
        <f t="shared" si="79"/>
        <v>0</v>
      </c>
      <c r="BO53" s="458" t="s">
        <v>163</v>
      </c>
      <c r="BP53" s="33">
        <f t="shared" si="80"/>
        <v>0</v>
      </c>
      <c r="BQ53" s="33">
        <f t="shared" si="81"/>
        <v>0</v>
      </c>
      <c r="BR53" s="34">
        <f t="shared" si="82"/>
        <v>0</v>
      </c>
      <c r="BT53" s="39"/>
      <c r="BU53" s="36" t="str">
        <f t="shared" si="32"/>
        <v/>
      </c>
      <c r="BV53" s="458"/>
      <c r="BW53" s="275">
        <f t="shared" si="83"/>
        <v>0</v>
      </c>
      <c r="BX53" s="458"/>
      <c r="BY53" s="65">
        <f t="shared" si="84"/>
        <v>0</v>
      </c>
      <c r="BZ53" s="32">
        <f t="shared" si="85"/>
        <v>0.104</v>
      </c>
      <c r="CA53" s="459"/>
      <c r="CB53" s="33">
        <f t="shared" si="86"/>
        <v>0</v>
      </c>
      <c r="CC53" s="458" t="s">
        <v>163</v>
      </c>
      <c r="CD53" s="33">
        <f t="shared" si="87"/>
        <v>0</v>
      </c>
      <c r="CE53" s="33">
        <f t="shared" si="88"/>
        <v>0</v>
      </c>
      <c r="CF53" s="34">
        <f t="shared" si="89"/>
        <v>0</v>
      </c>
    </row>
    <row r="54" spans="2:84" ht="18" hidden="1" customHeight="1" x14ac:dyDescent="0.35">
      <c r="C54" s="457"/>
      <c r="D54" s="458"/>
      <c r="E54" s="458"/>
      <c r="F54" s="458"/>
      <c r="G54" s="459"/>
      <c r="H54" s="32">
        <f t="shared" si="51"/>
        <v>0.104</v>
      </c>
      <c r="I54" s="459"/>
      <c r="J54" s="33">
        <f t="shared" si="52"/>
        <v>0</v>
      </c>
      <c r="K54" s="458" t="s">
        <v>163</v>
      </c>
      <c r="L54" s="33">
        <f t="shared" si="39"/>
        <v>0</v>
      </c>
      <c r="M54" s="33">
        <f t="shared" si="53"/>
        <v>0</v>
      </c>
      <c r="N54" s="34">
        <f t="shared" si="54"/>
        <v>0</v>
      </c>
      <c r="P54" s="39"/>
      <c r="Q54" s="36" t="str">
        <f t="shared" si="4"/>
        <v/>
      </c>
      <c r="R54" s="458"/>
      <c r="S54" s="275">
        <f t="shared" si="55"/>
        <v>0</v>
      </c>
      <c r="T54" s="458"/>
      <c r="U54" s="65">
        <f t="shared" si="56"/>
        <v>0</v>
      </c>
      <c r="V54" s="32">
        <f t="shared" si="57"/>
        <v>0.104</v>
      </c>
      <c r="W54" s="459"/>
      <c r="X54" s="33">
        <f t="shared" si="58"/>
        <v>0</v>
      </c>
      <c r="Y54" s="458" t="s">
        <v>163</v>
      </c>
      <c r="Z54" s="33">
        <f t="shared" si="59"/>
        <v>0</v>
      </c>
      <c r="AA54" s="33">
        <f t="shared" si="60"/>
        <v>0</v>
      </c>
      <c r="AB54" s="34">
        <f t="shared" si="61"/>
        <v>0</v>
      </c>
      <c r="AD54" s="39"/>
      <c r="AE54" s="36" t="str">
        <f t="shared" si="11"/>
        <v/>
      </c>
      <c r="AF54" s="458"/>
      <c r="AG54" s="275">
        <f t="shared" si="62"/>
        <v>0</v>
      </c>
      <c r="AH54" s="458"/>
      <c r="AI54" s="65">
        <f t="shared" si="63"/>
        <v>0</v>
      </c>
      <c r="AJ54" s="32">
        <f t="shared" si="64"/>
        <v>0.104</v>
      </c>
      <c r="AK54" s="459"/>
      <c r="AL54" s="33">
        <f t="shared" si="65"/>
        <v>0</v>
      </c>
      <c r="AM54" s="458" t="s">
        <v>163</v>
      </c>
      <c r="AN54" s="33">
        <f t="shared" si="66"/>
        <v>0</v>
      </c>
      <c r="AO54" s="33">
        <f t="shared" si="67"/>
        <v>0</v>
      </c>
      <c r="AP54" s="34">
        <f t="shared" si="68"/>
        <v>0</v>
      </c>
      <c r="AR54" s="39"/>
      <c r="AS54" s="36" t="str">
        <f t="shared" si="18"/>
        <v/>
      </c>
      <c r="AT54" s="458"/>
      <c r="AU54" s="275">
        <f t="shared" si="69"/>
        <v>0</v>
      </c>
      <c r="AV54" s="458"/>
      <c r="AW54" s="65">
        <f t="shared" si="70"/>
        <v>0</v>
      </c>
      <c r="AX54" s="32">
        <f t="shared" si="71"/>
        <v>0.104</v>
      </c>
      <c r="AY54" s="459"/>
      <c r="AZ54" s="33">
        <f t="shared" si="72"/>
        <v>0</v>
      </c>
      <c r="BA54" s="458" t="s">
        <v>163</v>
      </c>
      <c r="BB54" s="33">
        <f t="shared" si="73"/>
        <v>0</v>
      </c>
      <c r="BC54" s="33">
        <f t="shared" si="74"/>
        <v>0</v>
      </c>
      <c r="BD54" s="34">
        <f t="shared" si="75"/>
        <v>0</v>
      </c>
      <c r="BF54" s="39"/>
      <c r="BG54" s="36" t="str">
        <f t="shared" si="25"/>
        <v/>
      </c>
      <c r="BH54" s="458"/>
      <c r="BI54" s="275">
        <f t="shared" si="76"/>
        <v>0</v>
      </c>
      <c r="BJ54" s="458"/>
      <c r="BK54" s="65">
        <f t="shared" si="77"/>
        <v>0</v>
      </c>
      <c r="BL54" s="32">
        <f t="shared" si="78"/>
        <v>0.104</v>
      </c>
      <c r="BM54" s="459"/>
      <c r="BN54" s="33">
        <f t="shared" si="79"/>
        <v>0</v>
      </c>
      <c r="BO54" s="458" t="s">
        <v>163</v>
      </c>
      <c r="BP54" s="33">
        <f t="shared" si="80"/>
        <v>0</v>
      </c>
      <c r="BQ54" s="33">
        <f t="shared" si="81"/>
        <v>0</v>
      </c>
      <c r="BR54" s="34">
        <f t="shared" si="82"/>
        <v>0</v>
      </c>
      <c r="BT54" s="39"/>
      <c r="BU54" s="36" t="str">
        <f t="shared" si="32"/>
        <v/>
      </c>
      <c r="BV54" s="458"/>
      <c r="BW54" s="275">
        <f t="shared" si="83"/>
        <v>0</v>
      </c>
      <c r="BX54" s="458"/>
      <c r="BY54" s="65">
        <f t="shared" si="84"/>
        <v>0</v>
      </c>
      <c r="BZ54" s="32">
        <f t="shared" si="85"/>
        <v>0.104</v>
      </c>
      <c r="CA54" s="459"/>
      <c r="CB54" s="33">
        <f t="shared" si="86"/>
        <v>0</v>
      </c>
      <c r="CC54" s="458" t="s">
        <v>163</v>
      </c>
      <c r="CD54" s="33">
        <f t="shared" si="87"/>
        <v>0</v>
      </c>
      <c r="CE54" s="33">
        <f t="shared" si="88"/>
        <v>0</v>
      </c>
      <c r="CF54" s="34">
        <f t="shared" si="89"/>
        <v>0</v>
      </c>
    </row>
    <row r="55" spans="2:84" ht="18" hidden="1" customHeight="1" x14ac:dyDescent="0.35">
      <c r="C55" s="457"/>
      <c r="D55" s="458"/>
      <c r="E55" s="458"/>
      <c r="F55" s="458"/>
      <c r="G55" s="459"/>
      <c r="H55" s="32">
        <f t="shared" si="51"/>
        <v>0.104</v>
      </c>
      <c r="I55" s="459"/>
      <c r="J55" s="33">
        <f t="shared" si="52"/>
        <v>0</v>
      </c>
      <c r="K55" s="458" t="s">
        <v>163</v>
      </c>
      <c r="L55" s="33">
        <f t="shared" si="39"/>
        <v>0</v>
      </c>
      <c r="M55" s="33">
        <f t="shared" si="53"/>
        <v>0</v>
      </c>
      <c r="N55" s="34">
        <f t="shared" si="54"/>
        <v>0</v>
      </c>
      <c r="P55" s="39"/>
      <c r="Q55" s="36" t="str">
        <f t="shared" si="4"/>
        <v/>
      </c>
      <c r="R55" s="458"/>
      <c r="S55" s="275">
        <f t="shared" si="55"/>
        <v>0</v>
      </c>
      <c r="T55" s="458"/>
      <c r="U55" s="65">
        <f t="shared" si="56"/>
        <v>0</v>
      </c>
      <c r="V55" s="32">
        <f t="shared" si="57"/>
        <v>0.104</v>
      </c>
      <c r="W55" s="459"/>
      <c r="X55" s="33">
        <f t="shared" si="58"/>
        <v>0</v>
      </c>
      <c r="Y55" s="458" t="s">
        <v>163</v>
      </c>
      <c r="Z55" s="33">
        <f t="shared" si="59"/>
        <v>0</v>
      </c>
      <c r="AA55" s="33">
        <f t="shared" si="60"/>
        <v>0</v>
      </c>
      <c r="AB55" s="34">
        <f t="shared" si="61"/>
        <v>0</v>
      </c>
      <c r="AD55" s="39"/>
      <c r="AE55" s="36" t="str">
        <f t="shared" si="11"/>
        <v/>
      </c>
      <c r="AF55" s="458"/>
      <c r="AG55" s="275">
        <f t="shared" si="62"/>
        <v>0</v>
      </c>
      <c r="AH55" s="458"/>
      <c r="AI55" s="65">
        <f t="shared" si="63"/>
        <v>0</v>
      </c>
      <c r="AJ55" s="32">
        <f t="shared" si="64"/>
        <v>0.104</v>
      </c>
      <c r="AK55" s="459"/>
      <c r="AL55" s="33">
        <f t="shared" si="65"/>
        <v>0</v>
      </c>
      <c r="AM55" s="458" t="s">
        <v>163</v>
      </c>
      <c r="AN55" s="33">
        <f t="shared" si="66"/>
        <v>0</v>
      </c>
      <c r="AO55" s="33">
        <f t="shared" si="67"/>
        <v>0</v>
      </c>
      <c r="AP55" s="34">
        <f t="shared" si="68"/>
        <v>0</v>
      </c>
      <c r="AR55" s="39"/>
      <c r="AS55" s="36" t="str">
        <f t="shared" si="18"/>
        <v/>
      </c>
      <c r="AT55" s="458"/>
      <c r="AU55" s="275">
        <f t="shared" si="69"/>
        <v>0</v>
      </c>
      <c r="AV55" s="458"/>
      <c r="AW55" s="65">
        <f t="shared" si="70"/>
        <v>0</v>
      </c>
      <c r="AX55" s="32">
        <f t="shared" si="71"/>
        <v>0.104</v>
      </c>
      <c r="AY55" s="459"/>
      <c r="AZ55" s="33">
        <f t="shared" si="72"/>
        <v>0</v>
      </c>
      <c r="BA55" s="458" t="s">
        <v>163</v>
      </c>
      <c r="BB55" s="33">
        <f t="shared" si="73"/>
        <v>0</v>
      </c>
      <c r="BC55" s="33">
        <f t="shared" si="74"/>
        <v>0</v>
      </c>
      <c r="BD55" s="34">
        <f t="shared" si="75"/>
        <v>0</v>
      </c>
      <c r="BF55" s="39"/>
      <c r="BG55" s="36" t="str">
        <f t="shared" si="25"/>
        <v/>
      </c>
      <c r="BH55" s="458"/>
      <c r="BI55" s="275">
        <f t="shared" si="76"/>
        <v>0</v>
      </c>
      <c r="BJ55" s="458"/>
      <c r="BK55" s="65">
        <f t="shared" si="77"/>
        <v>0</v>
      </c>
      <c r="BL55" s="32">
        <f t="shared" si="78"/>
        <v>0.104</v>
      </c>
      <c r="BM55" s="459"/>
      <c r="BN55" s="33">
        <f t="shared" si="79"/>
        <v>0</v>
      </c>
      <c r="BO55" s="458" t="s">
        <v>163</v>
      </c>
      <c r="BP55" s="33">
        <f t="shared" si="80"/>
        <v>0</v>
      </c>
      <c r="BQ55" s="33">
        <f t="shared" si="81"/>
        <v>0</v>
      </c>
      <c r="BR55" s="34">
        <f t="shared" si="82"/>
        <v>0</v>
      </c>
      <c r="BT55" s="39"/>
      <c r="BU55" s="36" t="str">
        <f t="shared" si="32"/>
        <v/>
      </c>
      <c r="BV55" s="458"/>
      <c r="BW55" s="275">
        <f t="shared" si="83"/>
        <v>0</v>
      </c>
      <c r="BX55" s="458"/>
      <c r="BY55" s="65">
        <f t="shared" si="84"/>
        <v>0</v>
      </c>
      <c r="BZ55" s="32">
        <f t="shared" si="85"/>
        <v>0.104</v>
      </c>
      <c r="CA55" s="459"/>
      <c r="CB55" s="33">
        <f t="shared" si="86"/>
        <v>0</v>
      </c>
      <c r="CC55" s="458" t="s">
        <v>163</v>
      </c>
      <c r="CD55" s="33">
        <f t="shared" si="87"/>
        <v>0</v>
      </c>
      <c r="CE55" s="33">
        <f t="shared" si="88"/>
        <v>0</v>
      </c>
      <c r="CF55" s="34">
        <f t="shared" si="89"/>
        <v>0</v>
      </c>
    </row>
    <row r="56" spans="2:84" ht="18" hidden="1" customHeight="1" x14ac:dyDescent="0.35">
      <c r="C56" s="457"/>
      <c r="D56" s="458"/>
      <c r="E56" s="458"/>
      <c r="F56" s="458"/>
      <c r="G56" s="459"/>
      <c r="H56" s="32">
        <f t="shared" si="51"/>
        <v>0.104</v>
      </c>
      <c r="I56" s="459"/>
      <c r="J56" s="33">
        <f t="shared" si="52"/>
        <v>0</v>
      </c>
      <c r="K56" s="458" t="s">
        <v>163</v>
      </c>
      <c r="L56" s="33">
        <f t="shared" si="39"/>
        <v>0</v>
      </c>
      <c r="M56" s="33">
        <f t="shared" si="53"/>
        <v>0</v>
      </c>
      <c r="N56" s="34">
        <f t="shared" si="54"/>
        <v>0</v>
      </c>
      <c r="P56" s="39"/>
      <c r="Q56" s="36" t="str">
        <f t="shared" si="4"/>
        <v/>
      </c>
      <c r="R56" s="458"/>
      <c r="S56" s="275">
        <f t="shared" si="55"/>
        <v>0</v>
      </c>
      <c r="T56" s="458"/>
      <c r="U56" s="65">
        <f t="shared" si="56"/>
        <v>0</v>
      </c>
      <c r="V56" s="32">
        <f t="shared" si="57"/>
        <v>0.104</v>
      </c>
      <c r="W56" s="459"/>
      <c r="X56" s="33">
        <f t="shared" si="58"/>
        <v>0</v>
      </c>
      <c r="Y56" s="458" t="s">
        <v>163</v>
      </c>
      <c r="Z56" s="33">
        <f t="shared" si="59"/>
        <v>0</v>
      </c>
      <c r="AA56" s="33">
        <f t="shared" si="60"/>
        <v>0</v>
      </c>
      <c r="AB56" s="34">
        <f t="shared" si="61"/>
        <v>0</v>
      </c>
      <c r="AD56" s="39"/>
      <c r="AE56" s="36" t="str">
        <f t="shared" si="11"/>
        <v/>
      </c>
      <c r="AF56" s="458"/>
      <c r="AG56" s="275">
        <f t="shared" si="62"/>
        <v>0</v>
      </c>
      <c r="AH56" s="458"/>
      <c r="AI56" s="65">
        <f t="shared" si="63"/>
        <v>0</v>
      </c>
      <c r="AJ56" s="32">
        <f t="shared" si="64"/>
        <v>0.104</v>
      </c>
      <c r="AK56" s="459"/>
      <c r="AL56" s="33">
        <f t="shared" si="65"/>
        <v>0</v>
      </c>
      <c r="AM56" s="458" t="s">
        <v>163</v>
      </c>
      <c r="AN56" s="33">
        <f t="shared" si="66"/>
        <v>0</v>
      </c>
      <c r="AO56" s="33">
        <f t="shared" si="67"/>
        <v>0</v>
      </c>
      <c r="AP56" s="34">
        <f t="shared" si="68"/>
        <v>0</v>
      </c>
      <c r="AR56" s="39"/>
      <c r="AS56" s="36" t="str">
        <f t="shared" si="18"/>
        <v/>
      </c>
      <c r="AT56" s="458"/>
      <c r="AU56" s="275">
        <f t="shared" si="69"/>
        <v>0</v>
      </c>
      <c r="AV56" s="458"/>
      <c r="AW56" s="65">
        <f t="shared" si="70"/>
        <v>0</v>
      </c>
      <c r="AX56" s="32">
        <f t="shared" si="71"/>
        <v>0.104</v>
      </c>
      <c r="AY56" s="459"/>
      <c r="AZ56" s="33">
        <f t="shared" si="72"/>
        <v>0</v>
      </c>
      <c r="BA56" s="458" t="s">
        <v>163</v>
      </c>
      <c r="BB56" s="33">
        <f t="shared" si="73"/>
        <v>0</v>
      </c>
      <c r="BC56" s="33">
        <f t="shared" si="74"/>
        <v>0</v>
      </c>
      <c r="BD56" s="34">
        <f t="shared" si="75"/>
        <v>0</v>
      </c>
      <c r="BF56" s="39"/>
      <c r="BG56" s="36" t="str">
        <f t="shared" si="25"/>
        <v/>
      </c>
      <c r="BH56" s="458"/>
      <c r="BI56" s="275">
        <f t="shared" si="76"/>
        <v>0</v>
      </c>
      <c r="BJ56" s="458"/>
      <c r="BK56" s="65">
        <f t="shared" si="77"/>
        <v>0</v>
      </c>
      <c r="BL56" s="32">
        <f t="shared" si="78"/>
        <v>0.104</v>
      </c>
      <c r="BM56" s="459"/>
      <c r="BN56" s="33">
        <f t="shared" si="79"/>
        <v>0</v>
      </c>
      <c r="BO56" s="458" t="s">
        <v>163</v>
      </c>
      <c r="BP56" s="33">
        <f t="shared" si="80"/>
        <v>0</v>
      </c>
      <c r="BQ56" s="33">
        <f t="shared" si="81"/>
        <v>0</v>
      </c>
      <c r="BR56" s="34">
        <f t="shared" si="82"/>
        <v>0</v>
      </c>
      <c r="BT56" s="39"/>
      <c r="BU56" s="36" t="str">
        <f t="shared" si="32"/>
        <v/>
      </c>
      <c r="BV56" s="458"/>
      <c r="BW56" s="275">
        <f t="shared" si="83"/>
        <v>0</v>
      </c>
      <c r="BX56" s="458"/>
      <c r="BY56" s="65">
        <f t="shared" si="84"/>
        <v>0</v>
      </c>
      <c r="BZ56" s="32">
        <f t="shared" si="85"/>
        <v>0.104</v>
      </c>
      <c r="CA56" s="459"/>
      <c r="CB56" s="33">
        <f t="shared" si="86"/>
        <v>0</v>
      </c>
      <c r="CC56" s="458" t="s">
        <v>163</v>
      </c>
      <c r="CD56" s="33">
        <f t="shared" si="87"/>
        <v>0</v>
      </c>
      <c r="CE56" s="33">
        <f t="shared" si="88"/>
        <v>0</v>
      </c>
      <c r="CF56" s="34">
        <f t="shared" si="89"/>
        <v>0</v>
      </c>
    </row>
    <row r="57" spans="2:84" ht="18" hidden="1" customHeight="1" x14ac:dyDescent="0.35">
      <c r="C57" s="457"/>
      <c r="D57" s="458"/>
      <c r="E57" s="458"/>
      <c r="F57" s="458"/>
      <c r="G57" s="459"/>
      <c r="H57" s="32">
        <f t="shared" si="51"/>
        <v>0.104</v>
      </c>
      <c r="I57" s="459"/>
      <c r="J57" s="33">
        <f t="shared" si="52"/>
        <v>0</v>
      </c>
      <c r="K57" s="458" t="s">
        <v>163</v>
      </c>
      <c r="L57" s="33">
        <f t="shared" si="39"/>
        <v>0</v>
      </c>
      <c r="M57" s="33">
        <f t="shared" si="53"/>
        <v>0</v>
      </c>
      <c r="N57" s="34">
        <f t="shared" si="54"/>
        <v>0</v>
      </c>
      <c r="P57" s="39"/>
      <c r="Q57" s="36" t="str">
        <f t="shared" si="4"/>
        <v/>
      </c>
      <c r="R57" s="458"/>
      <c r="S57" s="275">
        <f t="shared" si="55"/>
        <v>0</v>
      </c>
      <c r="T57" s="458"/>
      <c r="U57" s="65">
        <f t="shared" si="56"/>
        <v>0</v>
      </c>
      <c r="V57" s="32">
        <f t="shared" si="57"/>
        <v>0.104</v>
      </c>
      <c r="W57" s="459"/>
      <c r="X57" s="33">
        <f t="shared" si="58"/>
        <v>0</v>
      </c>
      <c r="Y57" s="458" t="s">
        <v>163</v>
      </c>
      <c r="Z57" s="33">
        <f t="shared" si="59"/>
        <v>0</v>
      </c>
      <c r="AA57" s="33">
        <f t="shared" si="60"/>
        <v>0</v>
      </c>
      <c r="AB57" s="34">
        <f t="shared" si="61"/>
        <v>0</v>
      </c>
      <c r="AD57" s="39"/>
      <c r="AE57" s="36" t="str">
        <f t="shared" si="11"/>
        <v/>
      </c>
      <c r="AF57" s="458"/>
      <c r="AG57" s="275">
        <f t="shared" si="62"/>
        <v>0</v>
      </c>
      <c r="AH57" s="458"/>
      <c r="AI57" s="65">
        <f t="shared" si="63"/>
        <v>0</v>
      </c>
      <c r="AJ57" s="32">
        <f t="shared" si="64"/>
        <v>0.104</v>
      </c>
      <c r="AK57" s="459"/>
      <c r="AL57" s="33">
        <f t="shared" si="65"/>
        <v>0</v>
      </c>
      <c r="AM57" s="458" t="s">
        <v>163</v>
      </c>
      <c r="AN57" s="33">
        <f t="shared" si="66"/>
        <v>0</v>
      </c>
      <c r="AO57" s="33">
        <f t="shared" si="67"/>
        <v>0</v>
      </c>
      <c r="AP57" s="34">
        <f t="shared" si="68"/>
        <v>0</v>
      </c>
      <c r="AR57" s="39"/>
      <c r="AS57" s="36" t="str">
        <f t="shared" si="18"/>
        <v/>
      </c>
      <c r="AT57" s="458"/>
      <c r="AU57" s="275">
        <f t="shared" si="69"/>
        <v>0</v>
      </c>
      <c r="AV57" s="458"/>
      <c r="AW57" s="65">
        <f t="shared" si="70"/>
        <v>0</v>
      </c>
      <c r="AX57" s="32">
        <f t="shared" si="71"/>
        <v>0.104</v>
      </c>
      <c r="AY57" s="459"/>
      <c r="AZ57" s="33">
        <f t="shared" si="72"/>
        <v>0</v>
      </c>
      <c r="BA57" s="458" t="s">
        <v>163</v>
      </c>
      <c r="BB57" s="33">
        <f t="shared" si="73"/>
        <v>0</v>
      </c>
      <c r="BC57" s="33">
        <f t="shared" si="74"/>
        <v>0</v>
      </c>
      <c r="BD57" s="34">
        <f t="shared" si="75"/>
        <v>0</v>
      </c>
      <c r="BF57" s="39"/>
      <c r="BG57" s="36" t="str">
        <f t="shared" si="25"/>
        <v/>
      </c>
      <c r="BH57" s="458"/>
      <c r="BI57" s="275">
        <f t="shared" si="76"/>
        <v>0</v>
      </c>
      <c r="BJ57" s="458"/>
      <c r="BK57" s="65">
        <f t="shared" si="77"/>
        <v>0</v>
      </c>
      <c r="BL57" s="32">
        <f t="shared" si="78"/>
        <v>0.104</v>
      </c>
      <c r="BM57" s="459"/>
      <c r="BN57" s="33">
        <f t="shared" si="79"/>
        <v>0</v>
      </c>
      <c r="BO57" s="458" t="s">
        <v>163</v>
      </c>
      <c r="BP57" s="33">
        <f t="shared" si="80"/>
        <v>0</v>
      </c>
      <c r="BQ57" s="33">
        <f t="shared" si="81"/>
        <v>0</v>
      </c>
      <c r="BR57" s="34">
        <f t="shared" si="82"/>
        <v>0</v>
      </c>
      <c r="BT57" s="39"/>
      <c r="BU57" s="36" t="str">
        <f t="shared" si="32"/>
        <v/>
      </c>
      <c r="BV57" s="458"/>
      <c r="BW57" s="275">
        <f t="shared" si="83"/>
        <v>0</v>
      </c>
      <c r="BX57" s="458"/>
      <c r="BY57" s="65">
        <f t="shared" si="84"/>
        <v>0</v>
      </c>
      <c r="BZ57" s="32">
        <f t="shared" si="85"/>
        <v>0.104</v>
      </c>
      <c r="CA57" s="459"/>
      <c r="CB57" s="33">
        <f t="shared" si="86"/>
        <v>0</v>
      </c>
      <c r="CC57" s="458" t="s">
        <v>163</v>
      </c>
      <c r="CD57" s="33">
        <f t="shared" si="87"/>
        <v>0</v>
      </c>
      <c r="CE57" s="33">
        <f t="shared" si="88"/>
        <v>0</v>
      </c>
      <c r="CF57" s="34">
        <f t="shared" si="89"/>
        <v>0</v>
      </c>
    </row>
    <row r="58" spans="2:84" ht="18" hidden="1" customHeight="1" x14ac:dyDescent="0.35">
      <c r="C58" s="457"/>
      <c r="D58" s="458"/>
      <c r="E58" s="458"/>
      <c r="F58" s="458"/>
      <c r="G58" s="459"/>
      <c r="H58" s="32">
        <f t="shared" si="51"/>
        <v>0.104</v>
      </c>
      <c r="I58" s="459"/>
      <c r="J58" s="33">
        <f t="shared" si="52"/>
        <v>0</v>
      </c>
      <c r="K58" s="458" t="s">
        <v>163</v>
      </c>
      <c r="L58" s="33">
        <f t="shared" si="39"/>
        <v>0</v>
      </c>
      <c r="M58" s="33">
        <f t="shared" si="53"/>
        <v>0</v>
      </c>
      <c r="N58" s="34">
        <f t="shared" si="54"/>
        <v>0</v>
      </c>
      <c r="P58" s="39"/>
      <c r="Q58" s="36" t="str">
        <f t="shared" si="4"/>
        <v/>
      </c>
      <c r="R58" s="458"/>
      <c r="S58" s="275">
        <f t="shared" si="55"/>
        <v>0</v>
      </c>
      <c r="T58" s="458"/>
      <c r="U58" s="65">
        <f t="shared" si="56"/>
        <v>0</v>
      </c>
      <c r="V58" s="32">
        <f t="shared" si="57"/>
        <v>0.104</v>
      </c>
      <c r="W58" s="459"/>
      <c r="X58" s="33">
        <f t="shared" si="58"/>
        <v>0</v>
      </c>
      <c r="Y58" s="458" t="s">
        <v>163</v>
      </c>
      <c r="Z58" s="33">
        <f t="shared" si="59"/>
        <v>0</v>
      </c>
      <c r="AA58" s="33">
        <f t="shared" si="60"/>
        <v>0</v>
      </c>
      <c r="AB58" s="34">
        <f t="shared" si="61"/>
        <v>0</v>
      </c>
      <c r="AD58" s="39"/>
      <c r="AE58" s="36" t="str">
        <f t="shared" si="11"/>
        <v/>
      </c>
      <c r="AF58" s="458"/>
      <c r="AG58" s="275">
        <f t="shared" si="62"/>
        <v>0</v>
      </c>
      <c r="AH58" s="458"/>
      <c r="AI58" s="65">
        <f t="shared" si="63"/>
        <v>0</v>
      </c>
      <c r="AJ58" s="32">
        <f t="shared" si="64"/>
        <v>0.104</v>
      </c>
      <c r="AK58" s="459"/>
      <c r="AL58" s="33">
        <f t="shared" si="65"/>
        <v>0</v>
      </c>
      <c r="AM58" s="458" t="s">
        <v>163</v>
      </c>
      <c r="AN58" s="33">
        <f t="shared" si="66"/>
        <v>0</v>
      </c>
      <c r="AO58" s="33">
        <f t="shared" si="67"/>
        <v>0</v>
      </c>
      <c r="AP58" s="34">
        <f t="shared" si="68"/>
        <v>0</v>
      </c>
      <c r="AR58" s="39"/>
      <c r="AS58" s="36" t="str">
        <f t="shared" si="18"/>
        <v/>
      </c>
      <c r="AT58" s="458"/>
      <c r="AU58" s="275">
        <f t="shared" si="69"/>
        <v>0</v>
      </c>
      <c r="AV58" s="458"/>
      <c r="AW58" s="65">
        <f t="shared" si="70"/>
        <v>0</v>
      </c>
      <c r="AX58" s="32">
        <f t="shared" si="71"/>
        <v>0.104</v>
      </c>
      <c r="AY58" s="459"/>
      <c r="AZ58" s="33">
        <f t="shared" si="72"/>
        <v>0</v>
      </c>
      <c r="BA58" s="458" t="s">
        <v>163</v>
      </c>
      <c r="BB58" s="33">
        <f t="shared" si="73"/>
        <v>0</v>
      </c>
      <c r="BC58" s="33">
        <f t="shared" si="74"/>
        <v>0</v>
      </c>
      <c r="BD58" s="34">
        <f t="shared" si="75"/>
        <v>0</v>
      </c>
      <c r="BF58" s="39"/>
      <c r="BG58" s="36" t="str">
        <f t="shared" si="25"/>
        <v/>
      </c>
      <c r="BH58" s="458"/>
      <c r="BI58" s="275">
        <f t="shared" si="76"/>
        <v>0</v>
      </c>
      <c r="BJ58" s="458"/>
      <c r="BK58" s="65">
        <f t="shared" si="77"/>
        <v>0</v>
      </c>
      <c r="BL58" s="32">
        <f t="shared" si="78"/>
        <v>0.104</v>
      </c>
      <c r="BM58" s="459"/>
      <c r="BN58" s="33">
        <f t="shared" si="79"/>
        <v>0</v>
      </c>
      <c r="BO58" s="458" t="s">
        <v>163</v>
      </c>
      <c r="BP58" s="33">
        <f t="shared" si="80"/>
        <v>0</v>
      </c>
      <c r="BQ58" s="33">
        <f t="shared" si="81"/>
        <v>0</v>
      </c>
      <c r="BR58" s="34">
        <f t="shared" si="82"/>
        <v>0</v>
      </c>
      <c r="BT58" s="39"/>
      <c r="BU58" s="36" t="str">
        <f t="shared" si="32"/>
        <v/>
      </c>
      <c r="BV58" s="458"/>
      <c r="BW58" s="275">
        <f t="shared" si="83"/>
        <v>0</v>
      </c>
      <c r="BX58" s="458"/>
      <c r="BY58" s="65">
        <f t="shared" si="84"/>
        <v>0</v>
      </c>
      <c r="BZ58" s="32">
        <f t="shared" si="85"/>
        <v>0.104</v>
      </c>
      <c r="CA58" s="459"/>
      <c r="CB58" s="33">
        <f t="shared" si="86"/>
        <v>0</v>
      </c>
      <c r="CC58" s="458" t="s">
        <v>163</v>
      </c>
      <c r="CD58" s="33">
        <f t="shared" si="87"/>
        <v>0</v>
      </c>
      <c r="CE58" s="33">
        <f t="shared" si="88"/>
        <v>0</v>
      </c>
      <c r="CF58" s="34">
        <f t="shared" si="89"/>
        <v>0</v>
      </c>
    </row>
    <row r="59" spans="2:84" ht="18" hidden="1" customHeight="1" x14ac:dyDescent="0.35">
      <c r="C59" s="457"/>
      <c r="D59" s="458"/>
      <c r="E59" s="458"/>
      <c r="F59" s="458"/>
      <c r="G59" s="459"/>
      <c r="H59" s="32">
        <f t="shared" si="51"/>
        <v>0.104</v>
      </c>
      <c r="I59" s="459"/>
      <c r="J59" s="33">
        <f t="shared" si="52"/>
        <v>0</v>
      </c>
      <c r="K59" s="458" t="s">
        <v>163</v>
      </c>
      <c r="L59" s="33">
        <f t="shared" si="39"/>
        <v>0</v>
      </c>
      <c r="M59" s="33">
        <f t="shared" si="53"/>
        <v>0</v>
      </c>
      <c r="N59" s="34">
        <f t="shared" si="54"/>
        <v>0</v>
      </c>
      <c r="P59" s="39"/>
      <c r="Q59" s="36" t="str">
        <f t="shared" si="4"/>
        <v/>
      </c>
      <c r="R59" s="458"/>
      <c r="S59" s="275">
        <f t="shared" si="55"/>
        <v>0</v>
      </c>
      <c r="T59" s="458"/>
      <c r="U59" s="65">
        <f t="shared" si="56"/>
        <v>0</v>
      </c>
      <c r="V59" s="32">
        <f t="shared" si="57"/>
        <v>0.104</v>
      </c>
      <c r="W59" s="459"/>
      <c r="X59" s="33">
        <f t="shared" si="58"/>
        <v>0</v>
      </c>
      <c r="Y59" s="458" t="s">
        <v>163</v>
      </c>
      <c r="Z59" s="33">
        <f t="shared" si="59"/>
        <v>0</v>
      </c>
      <c r="AA59" s="33">
        <f t="shared" si="60"/>
        <v>0</v>
      </c>
      <c r="AB59" s="34">
        <f t="shared" si="61"/>
        <v>0</v>
      </c>
      <c r="AD59" s="39"/>
      <c r="AE59" s="36" t="str">
        <f t="shared" si="11"/>
        <v/>
      </c>
      <c r="AF59" s="458"/>
      <c r="AG59" s="275">
        <f t="shared" si="62"/>
        <v>0</v>
      </c>
      <c r="AH59" s="458"/>
      <c r="AI59" s="65">
        <f t="shared" si="63"/>
        <v>0</v>
      </c>
      <c r="AJ59" s="32">
        <f t="shared" si="64"/>
        <v>0.104</v>
      </c>
      <c r="AK59" s="459"/>
      <c r="AL59" s="33">
        <f t="shared" si="65"/>
        <v>0</v>
      </c>
      <c r="AM59" s="458" t="s">
        <v>163</v>
      </c>
      <c r="AN59" s="33">
        <f t="shared" si="66"/>
        <v>0</v>
      </c>
      <c r="AO59" s="33">
        <f t="shared" si="67"/>
        <v>0</v>
      </c>
      <c r="AP59" s="34">
        <f t="shared" si="68"/>
        <v>0</v>
      </c>
      <c r="AR59" s="39"/>
      <c r="AS59" s="36" t="str">
        <f t="shared" si="18"/>
        <v/>
      </c>
      <c r="AT59" s="458"/>
      <c r="AU59" s="275">
        <f t="shared" si="69"/>
        <v>0</v>
      </c>
      <c r="AV59" s="458"/>
      <c r="AW59" s="65">
        <f t="shared" si="70"/>
        <v>0</v>
      </c>
      <c r="AX59" s="32">
        <f t="shared" si="71"/>
        <v>0.104</v>
      </c>
      <c r="AY59" s="459"/>
      <c r="AZ59" s="33">
        <f t="shared" si="72"/>
        <v>0</v>
      </c>
      <c r="BA59" s="458" t="s">
        <v>163</v>
      </c>
      <c r="BB59" s="33">
        <f t="shared" si="73"/>
        <v>0</v>
      </c>
      <c r="BC59" s="33">
        <f t="shared" si="74"/>
        <v>0</v>
      </c>
      <c r="BD59" s="34">
        <f t="shared" si="75"/>
        <v>0</v>
      </c>
      <c r="BF59" s="39"/>
      <c r="BG59" s="36" t="str">
        <f t="shared" si="25"/>
        <v/>
      </c>
      <c r="BH59" s="458"/>
      <c r="BI59" s="275">
        <f t="shared" si="76"/>
        <v>0</v>
      </c>
      <c r="BJ59" s="458"/>
      <c r="BK59" s="65">
        <f t="shared" si="77"/>
        <v>0</v>
      </c>
      <c r="BL59" s="32">
        <f t="shared" si="78"/>
        <v>0.104</v>
      </c>
      <c r="BM59" s="459"/>
      <c r="BN59" s="33">
        <f t="shared" si="79"/>
        <v>0</v>
      </c>
      <c r="BO59" s="458" t="s">
        <v>163</v>
      </c>
      <c r="BP59" s="33">
        <f t="shared" si="80"/>
        <v>0</v>
      </c>
      <c r="BQ59" s="33">
        <f t="shared" si="81"/>
        <v>0</v>
      </c>
      <c r="BR59" s="34">
        <f t="shared" si="82"/>
        <v>0</v>
      </c>
      <c r="BT59" s="39"/>
      <c r="BU59" s="36" t="str">
        <f t="shared" si="32"/>
        <v/>
      </c>
      <c r="BV59" s="458"/>
      <c r="BW59" s="275">
        <f t="shared" si="83"/>
        <v>0</v>
      </c>
      <c r="BX59" s="458"/>
      <c r="BY59" s="65">
        <f t="shared" si="84"/>
        <v>0</v>
      </c>
      <c r="BZ59" s="32">
        <f t="shared" si="85"/>
        <v>0.104</v>
      </c>
      <c r="CA59" s="459"/>
      <c r="CB59" s="33">
        <f t="shared" si="86"/>
        <v>0</v>
      </c>
      <c r="CC59" s="458" t="s">
        <v>163</v>
      </c>
      <c r="CD59" s="33">
        <f t="shared" si="87"/>
        <v>0</v>
      </c>
      <c r="CE59" s="33">
        <f t="shared" si="88"/>
        <v>0</v>
      </c>
      <c r="CF59" s="34">
        <f t="shared" si="89"/>
        <v>0</v>
      </c>
    </row>
    <row r="60" spans="2:84" ht="18" hidden="1" customHeight="1" x14ac:dyDescent="0.35">
      <c r="C60" s="457"/>
      <c r="D60" s="458"/>
      <c r="E60" s="458"/>
      <c r="F60" s="458"/>
      <c r="G60" s="459"/>
      <c r="H60" s="32">
        <f t="shared" si="51"/>
        <v>0.104</v>
      </c>
      <c r="I60" s="459"/>
      <c r="J60" s="33">
        <f t="shared" si="52"/>
        <v>0</v>
      </c>
      <c r="K60" s="458" t="s">
        <v>163</v>
      </c>
      <c r="L60" s="33">
        <f t="shared" si="39"/>
        <v>0</v>
      </c>
      <c r="M60" s="33">
        <f t="shared" si="53"/>
        <v>0</v>
      </c>
      <c r="N60" s="34">
        <f t="shared" si="54"/>
        <v>0</v>
      </c>
      <c r="P60" s="39"/>
      <c r="Q60" s="36" t="str">
        <f t="shared" si="4"/>
        <v/>
      </c>
      <c r="R60" s="458"/>
      <c r="S60" s="275">
        <f t="shared" si="55"/>
        <v>0</v>
      </c>
      <c r="T60" s="458"/>
      <c r="U60" s="65">
        <f t="shared" si="56"/>
        <v>0</v>
      </c>
      <c r="V60" s="32">
        <f t="shared" si="57"/>
        <v>0.104</v>
      </c>
      <c r="W60" s="459"/>
      <c r="X60" s="33">
        <f t="shared" si="58"/>
        <v>0</v>
      </c>
      <c r="Y60" s="458" t="s">
        <v>163</v>
      </c>
      <c r="Z60" s="33">
        <f t="shared" si="59"/>
        <v>0</v>
      </c>
      <c r="AA60" s="33">
        <f t="shared" si="60"/>
        <v>0</v>
      </c>
      <c r="AB60" s="34">
        <f t="shared" si="61"/>
        <v>0</v>
      </c>
      <c r="AD60" s="39"/>
      <c r="AE60" s="36" t="str">
        <f t="shared" si="11"/>
        <v/>
      </c>
      <c r="AF60" s="458"/>
      <c r="AG60" s="275">
        <f t="shared" si="62"/>
        <v>0</v>
      </c>
      <c r="AH60" s="458"/>
      <c r="AI60" s="65">
        <f t="shared" si="63"/>
        <v>0</v>
      </c>
      <c r="AJ60" s="32">
        <f t="shared" si="64"/>
        <v>0.104</v>
      </c>
      <c r="AK60" s="459"/>
      <c r="AL60" s="33">
        <f t="shared" si="65"/>
        <v>0</v>
      </c>
      <c r="AM60" s="458" t="s">
        <v>163</v>
      </c>
      <c r="AN60" s="33">
        <f t="shared" si="66"/>
        <v>0</v>
      </c>
      <c r="AO60" s="33">
        <f t="shared" si="67"/>
        <v>0</v>
      </c>
      <c r="AP60" s="34">
        <f t="shared" si="68"/>
        <v>0</v>
      </c>
      <c r="AR60" s="39"/>
      <c r="AS60" s="36" t="str">
        <f t="shared" si="18"/>
        <v/>
      </c>
      <c r="AT60" s="458"/>
      <c r="AU60" s="275">
        <f t="shared" si="69"/>
        <v>0</v>
      </c>
      <c r="AV60" s="458"/>
      <c r="AW60" s="65">
        <f t="shared" si="70"/>
        <v>0</v>
      </c>
      <c r="AX60" s="32">
        <f t="shared" si="71"/>
        <v>0.104</v>
      </c>
      <c r="AY60" s="459"/>
      <c r="AZ60" s="33">
        <f t="shared" si="72"/>
        <v>0</v>
      </c>
      <c r="BA60" s="458" t="s">
        <v>163</v>
      </c>
      <c r="BB60" s="33">
        <f t="shared" si="73"/>
        <v>0</v>
      </c>
      <c r="BC60" s="33">
        <f t="shared" si="74"/>
        <v>0</v>
      </c>
      <c r="BD60" s="34">
        <f t="shared" si="75"/>
        <v>0</v>
      </c>
      <c r="BF60" s="39"/>
      <c r="BG60" s="36" t="str">
        <f t="shared" si="25"/>
        <v/>
      </c>
      <c r="BH60" s="458"/>
      <c r="BI60" s="275">
        <f t="shared" si="76"/>
        <v>0</v>
      </c>
      <c r="BJ60" s="458"/>
      <c r="BK60" s="65">
        <f t="shared" si="77"/>
        <v>0</v>
      </c>
      <c r="BL60" s="32">
        <f t="shared" si="78"/>
        <v>0.104</v>
      </c>
      <c r="BM60" s="459"/>
      <c r="BN60" s="33">
        <f t="shared" si="79"/>
        <v>0</v>
      </c>
      <c r="BO60" s="458" t="s">
        <v>163</v>
      </c>
      <c r="BP60" s="33">
        <f t="shared" si="80"/>
        <v>0</v>
      </c>
      <c r="BQ60" s="33">
        <f t="shared" si="81"/>
        <v>0</v>
      </c>
      <c r="BR60" s="34">
        <f t="shared" si="82"/>
        <v>0</v>
      </c>
      <c r="BT60" s="39"/>
      <c r="BU60" s="36" t="str">
        <f t="shared" si="32"/>
        <v/>
      </c>
      <c r="BV60" s="458"/>
      <c r="BW60" s="275">
        <f t="shared" si="83"/>
        <v>0</v>
      </c>
      <c r="BX60" s="458"/>
      <c r="BY60" s="65">
        <f t="shared" si="84"/>
        <v>0</v>
      </c>
      <c r="BZ60" s="32">
        <f t="shared" si="85"/>
        <v>0.104</v>
      </c>
      <c r="CA60" s="459"/>
      <c r="CB60" s="33">
        <f t="shared" si="86"/>
        <v>0</v>
      </c>
      <c r="CC60" s="458" t="s">
        <v>163</v>
      </c>
      <c r="CD60" s="33">
        <f t="shared" si="87"/>
        <v>0</v>
      </c>
      <c r="CE60" s="33">
        <f t="shared" si="88"/>
        <v>0</v>
      </c>
      <c r="CF60" s="34">
        <f t="shared" si="89"/>
        <v>0</v>
      </c>
    </row>
    <row r="61" spans="2:84" ht="18" hidden="1" customHeight="1" x14ac:dyDescent="0.35">
      <c r="B61" s="39"/>
      <c r="C61" s="457"/>
      <c r="D61" s="458"/>
      <c r="E61" s="458"/>
      <c r="F61" s="458"/>
      <c r="G61" s="459"/>
      <c r="H61" s="32">
        <f t="shared" si="45"/>
        <v>0.104</v>
      </c>
      <c r="I61" s="459"/>
      <c r="J61" s="33">
        <f t="shared" si="46"/>
        <v>0</v>
      </c>
      <c r="K61" s="458" t="s">
        <v>163</v>
      </c>
      <c r="L61" s="33">
        <f t="shared" si="39"/>
        <v>0</v>
      </c>
      <c r="M61" s="33">
        <f t="shared" si="2"/>
        <v>0</v>
      </c>
      <c r="N61" s="34">
        <f t="shared" si="3"/>
        <v>0</v>
      </c>
      <c r="P61" s="39"/>
      <c r="Q61" s="36" t="str">
        <f t="shared" si="4"/>
        <v/>
      </c>
      <c r="R61" s="458"/>
      <c r="S61" s="275">
        <f t="shared" si="55"/>
        <v>0</v>
      </c>
      <c r="T61" s="458"/>
      <c r="U61" s="65">
        <f t="shared" si="56"/>
        <v>0</v>
      </c>
      <c r="V61" s="32">
        <f t="shared" si="57"/>
        <v>0.104</v>
      </c>
      <c r="W61" s="459"/>
      <c r="X61" s="33">
        <f t="shared" si="58"/>
        <v>0</v>
      </c>
      <c r="Y61" s="458" t="s">
        <v>163</v>
      </c>
      <c r="Z61" s="33">
        <f t="shared" si="59"/>
        <v>0</v>
      </c>
      <c r="AA61" s="33">
        <f t="shared" si="60"/>
        <v>0</v>
      </c>
      <c r="AB61" s="34">
        <f t="shared" si="61"/>
        <v>0</v>
      </c>
      <c r="AD61" s="39"/>
      <c r="AE61" s="36" t="str">
        <f t="shared" si="11"/>
        <v/>
      </c>
      <c r="AF61" s="458"/>
      <c r="AG61" s="275">
        <f t="shared" si="62"/>
        <v>0</v>
      </c>
      <c r="AH61" s="458"/>
      <c r="AI61" s="65">
        <f t="shared" si="63"/>
        <v>0</v>
      </c>
      <c r="AJ61" s="32">
        <f t="shared" si="64"/>
        <v>0.104</v>
      </c>
      <c r="AK61" s="459"/>
      <c r="AL61" s="33">
        <f t="shared" si="65"/>
        <v>0</v>
      </c>
      <c r="AM61" s="458" t="s">
        <v>163</v>
      </c>
      <c r="AN61" s="33">
        <f t="shared" si="66"/>
        <v>0</v>
      </c>
      <c r="AO61" s="33">
        <f t="shared" si="67"/>
        <v>0</v>
      </c>
      <c r="AP61" s="34">
        <f t="shared" si="68"/>
        <v>0</v>
      </c>
      <c r="AR61" s="39"/>
      <c r="AS61" s="36" t="str">
        <f t="shared" si="18"/>
        <v/>
      </c>
      <c r="AT61" s="458"/>
      <c r="AU61" s="275">
        <f t="shared" si="69"/>
        <v>0</v>
      </c>
      <c r="AV61" s="458"/>
      <c r="AW61" s="65">
        <f t="shared" si="70"/>
        <v>0</v>
      </c>
      <c r="AX61" s="32">
        <f t="shared" si="71"/>
        <v>0.104</v>
      </c>
      <c r="AY61" s="459"/>
      <c r="AZ61" s="33">
        <f t="shared" si="72"/>
        <v>0</v>
      </c>
      <c r="BA61" s="458" t="s">
        <v>163</v>
      </c>
      <c r="BB61" s="33">
        <f t="shared" si="73"/>
        <v>0</v>
      </c>
      <c r="BC61" s="33">
        <f t="shared" si="74"/>
        <v>0</v>
      </c>
      <c r="BD61" s="34">
        <f t="shared" si="75"/>
        <v>0</v>
      </c>
      <c r="BF61" s="39"/>
      <c r="BG61" s="36" t="str">
        <f t="shared" si="25"/>
        <v/>
      </c>
      <c r="BH61" s="458"/>
      <c r="BI61" s="275">
        <f t="shared" si="76"/>
        <v>0</v>
      </c>
      <c r="BJ61" s="458"/>
      <c r="BK61" s="65">
        <f t="shared" si="77"/>
        <v>0</v>
      </c>
      <c r="BL61" s="32">
        <f t="shared" si="78"/>
        <v>0.104</v>
      </c>
      <c r="BM61" s="459"/>
      <c r="BN61" s="33">
        <f t="shared" si="79"/>
        <v>0</v>
      </c>
      <c r="BO61" s="458" t="s">
        <v>163</v>
      </c>
      <c r="BP61" s="33">
        <f t="shared" si="80"/>
        <v>0</v>
      </c>
      <c r="BQ61" s="33">
        <f t="shared" si="81"/>
        <v>0</v>
      </c>
      <c r="BR61" s="34">
        <f t="shared" si="82"/>
        <v>0</v>
      </c>
      <c r="BT61" s="39"/>
      <c r="BU61" s="36" t="str">
        <f t="shared" si="32"/>
        <v/>
      </c>
      <c r="BV61" s="458"/>
      <c r="BW61" s="275">
        <f t="shared" si="83"/>
        <v>0</v>
      </c>
      <c r="BX61" s="458"/>
      <c r="BY61" s="65">
        <f t="shared" si="84"/>
        <v>0</v>
      </c>
      <c r="BZ61" s="32">
        <f t="shared" si="85"/>
        <v>0.104</v>
      </c>
      <c r="CA61" s="459"/>
      <c r="CB61" s="33">
        <f t="shared" si="86"/>
        <v>0</v>
      </c>
      <c r="CC61" s="458" t="s">
        <v>163</v>
      </c>
      <c r="CD61" s="33">
        <f t="shared" si="87"/>
        <v>0</v>
      </c>
      <c r="CE61" s="33">
        <f t="shared" si="88"/>
        <v>0</v>
      </c>
      <c r="CF61" s="34">
        <f t="shared" si="89"/>
        <v>0</v>
      </c>
    </row>
    <row r="62" spans="2:84" ht="18" hidden="1" customHeight="1" x14ac:dyDescent="0.35">
      <c r="B62" s="39"/>
      <c r="C62" s="457"/>
      <c r="D62" s="458"/>
      <c r="E62" s="458"/>
      <c r="F62" s="458"/>
      <c r="G62" s="459"/>
      <c r="H62" s="32">
        <f t="shared" si="45"/>
        <v>0.104</v>
      </c>
      <c r="I62" s="459"/>
      <c r="J62" s="33">
        <f t="shared" si="46"/>
        <v>0</v>
      </c>
      <c r="K62" s="458" t="s">
        <v>163</v>
      </c>
      <c r="L62" s="33">
        <f t="shared" si="39"/>
        <v>0</v>
      </c>
      <c r="M62" s="33">
        <f t="shared" si="2"/>
        <v>0</v>
      </c>
      <c r="N62" s="34">
        <f t="shared" si="3"/>
        <v>0</v>
      </c>
      <c r="P62" s="39"/>
      <c r="Q62" s="36" t="str">
        <f t="shared" si="4"/>
        <v/>
      </c>
      <c r="R62" s="458"/>
      <c r="S62" s="275">
        <f t="shared" si="5"/>
        <v>0</v>
      </c>
      <c r="T62" s="458"/>
      <c r="U62" s="65">
        <f t="shared" si="6"/>
        <v>0</v>
      </c>
      <c r="V62" s="32">
        <f t="shared" si="7"/>
        <v>0.104</v>
      </c>
      <c r="W62" s="459"/>
      <c r="X62" s="33">
        <f t="shared" si="8"/>
        <v>0</v>
      </c>
      <c r="Y62" s="458" t="s">
        <v>163</v>
      </c>
      <c r="Z62" s="33">
        <f t="shared" si="40"/>
        <v>0</v>
      </c>
      <c r="AA62" s="33">
        <f t="shared" si="9"/>
        <v>0</v>
      </c>
      <c r="AB62" s="34">
        <f t="shared" si="10"/>
        <v>0</v>
      </c>
      <c r="AD62" s="39"/>
      <c r="AE62" s="36" t="str">
        <f t="shared" si="11"/>
        <v/>
      </c>
      <c r="AF62" s="458"/>
      <c r="AG62" s="275">
        <f t="shared" si="12"/>
        <v>0</v>
      </c>
      <c r="AH62" s="458"/>
      <c r="AI62" s="65">
        <f t="shared" si="13"/>
        <v>0</v>
      </c>
      <c r="AJ62" s="32">
        <f t="shared" si="14"/>
        <v>0.104</v>
      </c>
      <c r="AK62" s="459"/>
      <c r="AL62" s="33">
        <f t="shared" si="15"/>
        <v>0</v>
      </c>
      <c r="AM62" s="458" t="s">
        <v>163</v>
      </c>
      <c r="AN62" s="33">
        <f t="shared" si="47"/>
        <v>0</v>
      </c>
      <c r="AO62" s="33">
        <f t="shared" si="16"/>
        <v>0</v>
      </c>
      <c r="AP62" s="34">
        <f t="shared" si="17"/>
        <v>0</v>
      </c>
      <c r="AR62" s="39"/>
      <c r="AS62" s="36" t="str">
        <f t="shared" si="18"/>
        <v/>
      </c>
      <c r="AT62" s="458"/>
      <c r="AU62" s="275">
        <f t="shared" si="19"/>
        <v>0</v>
      </c>
      <c r="AV62" s="458"/>
      <c r="AW62" s="65">
        <f t="shared" si="20"/>
        <v>0</v>
      </c>
      <c r="AX62" s="32">
        <f t="shared" si="21"/>
        <v>0.104</v>
      </c>
      <c r="AY62" s="459"/>
      <c r="AZ62" s="33">
        <f t="shared" si="22"/>
        <v>0</v>
      </c>
      <c r="BA62" s="458" t="s">
        <v>163</v>
      </c>
      <c r="BB62" s="33">
        <f t="shared" si="48"/>
        <v>0</v>
      </c>
      <c r="BC62" s="33">
        <f t="shared" si="23"/>
        <v>0</v>
      </c>
      <c r="BD62" s="34">
        <f t="shared" si="24"/>
        <v>0</v>
      </c>
      <c r="BF62" s="39"/>
      <c r="BG62" s="36" t="str">
        <f t="shared" si="25"/>
        <v/>
      </c>
      <c r="BH62" s="458"/>
      <c r="BI62" s="275">
        <f t="shared" si="26"/>
        <v>0</v>
      </c>
      <c r="BJ62" s="458"/>
      <c r="BK62" s="65">
        <f t="shared" si="27"/>
        <v>0</v>
      </c>
      <c r="BL62" s="32">
        <f t="shared" si="28"/>
        <v>0.104</v>
      </c>
      <c r="BM62" s="459"/>
      <c r="BN62" s="33">
        <f t="shared" si="29"/>
        <v>0</v>
      </c>
      <c r="BO62" s="458" t="s">
        <v>163</v>
      </c>
      <c r="BP62" s="33">
        <f t="shared" si="49"/>
        <v>0</v>
      </c>
      <c r="BQ62" s="33">
        <f t="shared" si="30"/>
        <v>0</v>
      </c>
      <c r="BR62" s="34">
        <f t="shared" si="31"/>
        <v>0</v>
      </c>
      <c r="BT62" s="39"/>
      <c r="BU62" s="36" t="str">
        <f t="shared" si="32"/>
        <v/>
      </c>
      <c r="BV62" s="458"/>
      <c r="BW62" s="275">
        <f t="shared" si="33"/>
        <v>0</v>
      </c>
      <c r="BX62" s="458"/>
      <c r="BY62" s="65">
        <f t="shared" si="34"/>
        <v>0</v>
      </c>
      <c r="BZ62" s="32">
        <f t="shared" si="35"/>
        <v>0.104</v>
      </c>
      <c r="CA62" s="459"/>
      <c r="CB62" s="33">
        <f t="shared" si="36"/>
        <v>0</v>
      </c>
      <c r="CC62" s="458" t="s">
        <v>163</v>
      </c>
      <c r="CD62" s="33">
        <f t="shared" si="50"/>
        <v>0</v>
      </c>
      <c r="CE62" s="33">
        <f t="shared" si="37"/>
        <v>0</v>
      </c>
      <c r="CF62" s="34">
        <f t="shared" si="38"/>
        <v>0</v>
      </c>
    </row>
    <row r="63" spans="2:84" ht="18" hidden="1" customHeight="1" x14ac:dyDescent="0.35">
      <c r="B63" s="39"/>
      <c r="C63" s="457"/>
      <c r="D63" s="458"/>
      <c r="E63" s="458"/>
      <c r="F63" s="458"/>
      <c r="G63" s="459"/>
      <c r="H63" s="32">
        <f t="shared" si="45"/>
        <v>0.104</v>
      </c>
      <c r="I63" s="459"/>
      <c r="J63" s="33">
        <f t="shared" si="46"/>
        <v>0</v>
      </c>
      <c r="K63" s="458" t="s">
        <v>163</v>
      </c>
      <c r="L63" s="33">
        <f t="shared" si="39"/>
        <v>0</v>
      </c>
      <c r="M63" s="33">
        <f t="shared" si="2"/>
        <v>0</v>
      </c>
      <c r="N63" s="34">
        <f t="shared" si="3"/>
        <v>0</v>
      </c>
      <c r="P63" s="39"/>
      <c r="Q63" s="36" t="str">
        <f t="shared" si="4"/>
        <v/>
      </c>
      <c r="R63" s="458"/>
      <c r="S63" s="275">
        <f t="shared" si="5"/>
        <v>0</v>
      </c>
      <c r="T63" s="458"/>
      <c r="U63" s="65">
        <f t="shared" si="6"/>
        <v>0</v>
      </c>
      <c r="V63" s="32">
        <f t="shared" si="7"/>
        <v>0.104</v>
      </c>
      <c r="W63" s="459"/>
      <c r="X63" s="33">
        <f t="shared" si="8"/>
        <v>0</v>
      </c>
      <c r="Y63" s="458" t="s">
        <v>163</v>
      </c>
      <c r="Z63" s="33">
        <f t="shared" si="40"/>
        <v>0</v>
      </c>
      <c r="AA63" s="33">
        <f t="shared" si="9"/>
        <v>0</v>
      </c>
      <c r="AB63" s="34">
        <f t="shared" si="10"/>
        <v>0</v>
      </c>
      <c r="AD63" s="39"/>
      <c r="AE63" s="36" t="str">
        <f t="shared" si="11"/>
        <v/>
      </c>
      <c r="AF63" s="458"/>
      <c r="AG63" s="275">
        <f t="shared" si="12"/>
        <v>0</v>
      </c>
      <c r="AH63" s="458"/>
      <c r="AI63" s="65">
        <f t="shared" si="13"/>
        <v>0</v>
      </c>
      <c r="AJ63" s="32">
        <f t="shared" si="14"/>
        <v>0.104</v>
      </c>
      <c r="AK63" s="459"/>
      <c r="AL63" s="33">
        <f t="shared" si="15"/>
        <v>0</v>
      </c>
      <c r="AM63" s="458" t="s">
        <v>163</v>
      </c>
      <c r="AN63" s="33">
        <f t="shared" si="47"/>
        <v>0</v>
      </c>
      <c r="AO63" s="33">
        <f t="shared" si="16"/>
        <v>0</v>
      </c>
      <c r="AP63" s="34">
        <f t="shared" si="17"/>
        <v>0</v>
      </c>
      <c r="AR63" s="39"/>
      <c r="AS63" s="36" t="str">
        <f t="shared" si="18"/>
        <v/>
      </c>
      <c r="AT63" s="458"/>
      <c r="AU63" s="275">
        <f t="shared" si="19"/>
        <v>0</v>
      </c>
      <c r="AV63" s="458"/>
      <c r="AW63" s="65">
        <f t="shared" si="20"/>
        <v>0</v>
      </c>
      <c r="AX63" s="32">
        <f t="shared" si="21"/>
        <v>0.104</v>
      </c>
      <c r="AY63" s="459"/>
      <c r="AZ63" s="33">
        <f t="shared" si="22"/>
        <v>0</v>
      </c>
      <c r="BA63" s="458" t="s">
        <v>163</v>
      </c>
      <c r="BB63" s="33">
        <f t="shared" si="48"/>
        <v>0</v>
      </c>
      <c r="BC63" s="33">
        <f t="shared" si="23"/>
        <v>0</v>
      </c>
      <c r="BD63" s="34">
        <f t="shared" si="24"/>
        <v>0</v>
      </c>
      <c r="BF63" s="39"/>
      <c r="BG63" s="36" t="str">
        <f t="shared" si="25"/>
        <v/>
      </c>
      <c r="BH63" s="458"/>
      <c r="BI63" s="275">
        <f t="shared" si="26"/>
        <v>0</v>
      </c>
      <c r="BJ63" s="458"/>
      <c r="BK63" s="65">
        <f t="shared" si="27"/>
        <v>0</v>
      </c>
      <c r="BL63" s="32">
        <f t="shared" si="28"/>
        <v>0.104</v>
      </c>
      <c r="BM63" s="459"/>
      <c r="BN63" s="33">
        <f t="shared" si="29"/>
        <v>0</v>
      </c>
      <c r="BO63" s="458" t="s">
        <v>163</v>
      </c>
      <c r="BP63" s="33">
        <f t="shared" si="49"/>
        <v>0</v>
      </c>
      <c r="BQ63" s="33">
        <f t="shared" si="30"/>
        <v>0</v>
      </c>
      <c r="BR63" s="34">
        <f t="shared" si="31"/>
        <v>0</v>
      </c>
      <c r="BT63" s="39"/>
      <c r="BU63" s="36" t="str">
        <f t="shared" si="32"/>
        <v/>
      </c>
      <c r="BV63" s="458"/>
      <c r="BW63" s="275">
        <f t="shared" si="33"/>
        <v>0</v>
      </c>
      <c r="BX63" s="458"/>
      <c r="BY63" s="65">
        <f t="shared" si="34"/>
        <v>0</v>
      </c>
      <c r="BZ63" s="32">
        <f t="shared" si="35"/>
        <v>0.104</v>
      </c>
      <c r="CA63" s="459"/>
      <c r="CB63" s="33">
        <f t="shared" si="36"/>
        <v>0</v>
      </c>
      <c r="CC63" s="458" t="s">
        <v>163</v>
      </c>
      <c r="CD63" s="33">
        <f t="shared" si="50"/>
        <v>0</v>
      </c>
      <c r="CE63" s="33">
        <f t="shared" si="37"/>
        <v>0</v>
      </c>
      <c r="CF63" s="34">
        <f t="shared" si="38"/>
        <v>0</v>
      </c>
    </row>
    <row r="64" spans="2:84" ht="18" hidden="1" customHeight="1" x14ac:dyDescent="0.35">
      <c r="B64" s="39"/>
      <c r="C64" s="457"/>
      <c r="D64" s="458"/>
      <c r="E64" s="458"/>
      <c r="F64" s="458"/>
      <c r="G64" s="459"/>
      <c r="H64" s="32">
        <f t="shared" si="45"/>
        <v>0.104</v>
      </c>
      <c r="I64" s="459"/>
      <c r="J64" s="33">
        <f t="shared" si="46"/>
        <v>0</v>
      </c>
      <c r="K64" s="458" t="s">
        <v>163</v>
      </c>
      <c r="L64" s="33">
        <f t="shared" si="39"/>
        <v>0</v>
      </c>
      <c r="M64" s="33">
        <f t="shared" si="2"/>
        <v>0</v>
      </c>
      <c r="N64" s="34">
        <f t="shared" si="3"/>
        <v>0</v>
      </c>
      <c r="P64" s="39"/>
      <c r="Q64" s="36" t="str">
        <f t="shared" si="4"/>
        <v/>
      </c>
      <c r="R64" s="458"/>
      <c r="S64" s="275">
        <f t="shared" si="5"/>
        <v>0</v>
      </c>
      <c r="T64" s="458"/>
      <c r="U64" s="65">
        <f t="shared" si="6"/>
        <v>0</v>
      </c>
      <c r="V64" s="32">
        <f t="shared" si="7"/>
        <v>0.104</v>
      </c>
      <c r="W64" s="459"/>
      <c r="X64" s="33">
        <f t="shared" si="8"/>
        <v>0</v>
      </c>
      <c r="Y64" s="458" t="s">
        <v>163</v>
      </c>
      <c r="Z64" s="33">
        <f t="shared" si="40"/>
        <v>0</v>
      </c>
      <c r="AA64" s="33">
        <f t="shared" si="9"/>
        <v>0</v>
      </c>
      <c r="AB64" s="34">
        <f t="shared" si="10"/>
        <v>0</v>
      </c>
      <c r="AD64" s="39"/>
      <c r="AE64" s="36" t="str">
        <f t="shared" si="11"/>
        <v/>
      </c>
      <c r="AF64" s="458"/>
      <c r="AG64" s="275">
        <f t="shared" si="12"/>
        <v>0</v>
      </c>
      <c r="AH64" s="458"/>
      <c r="AI64" s="65">
        <f t="shared" si="13"/>
        <v>0</v>
      </c>
      <c r="AJ64" s="32">
        <f t="shared" si="14"/>
        <v>0.104</v>
      </c>
      <c r="AK64" s="459"/>
      <c r="AL64" s="33">
        <f t="shared" si="15"/>
        <v>0</v>
      </c>
      <c r="AM64" s="458" t="s">
        <v>163</v>
      </c>
      <c r="AN64" s="33">
        <f t="shared" si="47"/>
        <v>0</v>
      </c>
      <c r="AO64" s="33">
        <f t="shared" si="16"/>
        <v>0</v>
      </c>
      <c r="AP64" s="34">
        <f t="shared" si="17"/>
        <v>0</v>
      </c>
      <c r="AR64" s="39"/>
      <c r="AS64" s="36" t="str">
        <f t="shared" si="18"/>
        <v/>
      </c>
      <c r="AT64" s="458"/>
      <c r="AU64" s="275">
        <f t="shared" si="19"/>
        <v>0</v>
      </c>
      <c r="AV64" s="458"/>
      <c r="AW64" s="65">
        <f t="shared" si="20"/>
        <v>0</v>
      </c>
      <c r="AX64" s="32">
        <f t="shared" si="21"/>
        <v>0.104</v>
      </c>
      <c r="AY64" s="459"/>
      <c r="AZ64" s="33">
        <f t="shared" si="22"/>
        <v>0</v>
      </c>
      <c r="BA64" s="458" t="s">
        <v>163</v>
      </c>
      <c r="BB64" s="33">
        <f t="shared" si="48"/>
        <v>0</v>
      </c>
      <c r="BC64" s="33">
        <f t="shared" si="23"/>
        <v>0</v>
      </c>
      <c r="BD64" s="34">
        <f t="shared" si="24"/>
        <v>0</v>
      </c>
      <c r="BF64" s="39"/>
      <c r="BG64" s="36" t="str">
        <f t="shared" si="25"/>
        <v/>
      </c>
      <c r="BH64" s="458"/>
      <c r="BI64" s="275">
        <f t="shared" si="26"/>
        <v>0</v>
      </c>
      <c r="BJ64" s="458"/>
      <c r="BK64" s="65">
        <f t="shared" si="27"/>
        <v>0</v>
      </c>
      <c r="BL64" s="32">
        <f t="shared" si="28"/>
        <v>0.104</v>
      </c>
      <c r="BM64" s="459"/>
      <c r="BN64" s="33">
        <f t="shared" si="29"/>
        <v>0</v>
      </c>
      <c r="BO64" s="458" t="s">
        <v>163</v>
      </c>
      <c r="BP64" s="33">
        <f t="shared" si="49"/>
        <v>0</v>
      </c>
      <c r="BQ64" s="33">
        <f t="shared" si="30"/>
        <v>0</v>
      </c>
      <c r="BR64" s="34">
        <f t="shared" si="31"/>
        <v>0</v>
      </c>
      <c r="BT64" s="39"/>
      <c r="BU64" s="36" t="str">
        <f t="shared" si="32"/>
        <v/>
      </c>
      <c r="BV64" s="458"/>
      <c r="BW64" s="275">
        <f t="shared" si="33"/>
        <v>0</v>
      </c>
      <c r="BX64" s="458"/>
      <c r="BY64" s="65">
        <f t="shared" si="34"/>
        <v>0</v>
      </c>
      <c r="BZ64" s="32">
        <f t="shared" si="35"/>
        <v>0.104</v>
      </c>
      <c r="CA64" s="459"/>
      <c r="CB64" s="33">
        <f t="shared" si="36"/>
        <v>0</v>
      </c>
      <c r="CC64" s="458" t="s">
        <v>163</v>
      </c>
      <c r="CD64" s="33">
        <f t="shared" si="50"/>
        <v>0</v>
      </c>
      <c r="CE64" s="33">
        <f t="shared" si="37"/>
        <v>0</v>
      </c>
      <c r="CF64" s="34">
        <f t="shared" si="38"/>
        <v>0</v>
      </c>
    </row>
    <row r="65" spans="2:84" ht="18" hidden="1" customHeight="1" x14ac:dyDescent="0.35">
      <c r="B65" s="39"/>
      <c r="C65" s="457"/>
      <c r="D65" s="458"/>
      <c r="E65" s="458"/>
      <c r="F65" s="458"/>
      <c r="G65" s="459"/>
      <c r="H65" s="32">
        <f t="shared" si="45"/>
        <v>0.104</v>
      </c>
      <c r="I65" s="459"/>
      <c r="J65" s="33">
        <f t="shared" si="46"/>
        <v>0</v>
      </c>
      <c r="K65" s="458" t="s">
        <v>163</v>
      </c>
      <c r="L65" s="33">
        <f t="shared" si="39"/>
        <v>0</v>
      </c>
      <c r="M65" s="33">
        <f t="shared" si="2"/>
        <v>0</v>
      </c>
      <c r="N65" s="34">
        <f t="shared" si="3"/>
        <v>0</v>
      </c>
      <c r="P65" s="39"/>
      <c r="Q65" s="36" t="str">
        <f t="shared" si="4"/>
        <v/>
      </c>
      <c r="R65" s="458"/>
      <c r="S65" s="275">
        <f t="shared" si="5"/>
        <v>0</v>
      </c>
      <c r="T65" s="458"/>
      <c r="U65" s="65">
        <f t="shared" si="6"/>
        <v>0</v>
      </c>
      <c r="V65" s="32">
        <f t="shared" si="7"/>
        <v>0.104</v>
      </c>
      <c r="W65" s="459"/>
      <c r="X65" s="33">
        <f t="shared" si="8"/>
        <v>0</v>
      </c>
      <c r="Y65" s="458" t="s">
        <v>163</v>
      </c>
      <c r="Z65" s="33">
        <f t="shared" si="40"/>
        <v>0</v>
      </c>
      <c r="AA65" s="33">
        <f t="shared" si="9"/>
        <v>0</v>
      </c>
      <c r="AB65" s="34">
        <f t="shared" si="10"/>
        <v>0</v>
      </c>
      <c r="AD65" s="39"/>
      <c r="AE65" s="36" t="str">
        <f t="shared" si="11"/>
        <v/>
      </c>
      <c r="AF65" s="458"/>
      <c r="AG65" s="275">
        <f t="shared" si="12"/>
        <v>0</v>
      </c>
      <c r="AH65" s="458"/>
      <c r="AI65" s="65">
        <f t="shared" si="13"/>
        <v>0</v>
      </c>
      <c r="AJ65" s="32">
        <f t="shared" si="14"/>
        <v>0.104</v>
      </c>
      <c r="AK65" s="459"/>
      <c r="AL65" s="33">
        <f t="shared" si="15"/>
        <v>0</v>
      </c>
      <c r="AM65" s="458" t="s">
        <v>163</v>
      </c>
      <c r="AN65" s="33">
        <f t="shared" si="47"/>
        <v>0</v>
      </c>
      <c r="AO65" s="33">
        <f t="shared" si="16"/>
        <v>0</v>
      </c>
      <c r="AP65" s="34">
        <f t="shared" si="17"/>
        <v>0</v>
      </c>
      <c r="AR65" s="39"/>
      <c r="AS65" s="36" t="str">
        <f t="shared" si="18"/>
        <v/>
      </c>
      <c r="AT65" s="458"/>
      <c r="AU65" s="275">
        <f t="shared" si="19"/>
        <v>0</v>
      </c>
      <c r="AV65" s="458"/>
      <c r="AW65" s="65">
        <f t="shared" si="20"/>
        <v>0</v>
      </c>
      <c r="AX65" s="32">
        <f t="shared" si="21"/>
        <v>0.104</v>
      </c>
      <c r="AY65" s="459"/>
      <c r="AZ65" s="33">
        <f t="shared" si="22"/>
        <v>0</v>
      </c>
      <c r="BA65" s="458" t="s">
        <v>163</v>
      </c>
      <c r="BB65" s="33">
        <f t="shared" si="48"/>
        <v>0</v>
      </c>
      <c r="BC65" s="33">
        <f t="shared" si="23"/>
        <v>0</v>
      </c>
      <c r="BD65" s="34">
        <f t="shared" si="24"/>
        <v>0</v>
      </c>
      <c r="BF65" s="39"/>
      <c r="BG65" s="36" t="str">
        <f t="shared" si="25"/>
        <v/>
      </c>
      <c r="BH65" s="458"/>
      <c r="BI65" s="275">
        <f t="shared" si="26"/>
        <v>0</v>
      </c>
      <c r="BJ65" s="458"/>
      <c r="BK65" s="65">
        <f t="shared" si="27"/>
        <v>0</v>
      </c>
      <c r="BL65" s="32">
        <f t="shared" si="28"/>
        <v>0.104</v>
      </c>
      <c r="BM65" s="459"/>
      <c r="BN65" s="33">
        <f t="shared" si="29"/>
        <v>0</v>
      </c>
      <c r="BO65" s="458" t="s">
        <v>163</v>
      </c>
      <c r="BP65" s="33">
        <f t="shared" si="49"/>
        <v>0</v>
      </c>
      <c r="BQ65" s="33">
        <f t="shared" si="30"/>
        <v>0</v>
      </c>
      <c r="BR65" s="34">
        <f t="shared" si="31"/>
        <v>0</v>
      </c>
      <c r="BT65" s="39"/>
      <c r="BU65" s="36" t="str">
        <f t="shared" si="32"/>
        <v/>
      </c>
      <c r="BV65" s="458"/>
      <c r="BW65" s="275">
        <f t="shared" si="33"/>
        <v>0</v>
      </c>
      <c r="BX65" s="458"/>
      <c r="BY65" s="65">
        <f t="shared" si="34"/>
        <v>0</v>
      </c>
      <c r="BZ65" s="32">
        <f t="shared" si="35"/>
        <v>0.104</v>
      </c>
      <c r="CA65" s="459"/>
      <c r="CB65" s="33">
        <f t="shared" si="36"/>
        <v>0</v>
      </c>
      <c r="CC65" s="458" t="s">
        <v>163</v>
      </c>
      <c r="CD65" s="33">
        <f t="shared" si="50"/>
        <v>0</v>
      </c>
      <c r="CE65" s="33">
        <f t="shared" si="37"/>
        <v>0</v>
      </c>
      <c r="CF65" s="34">
        <f t="shared" si="38"/>
        <v>0</v>
      </c>
    </row>
    <row r="66" spans="2:84" ht="18" hidden="1" customHeight="1" x14ac:dyDescent="0.35">
      <c r="B66" s="39"/>
      <c r="C66" s="457"/>
      <c r="D66" s="458"/>
      <c r="E66" s="458"/>
      <c r="F66" s="458"/>
      <c r="G66" s="459"/>
      <c r="H66" s="32">
        <f t="shared" si="45"/>
        <v>0.104</v>
      </c>
      <c r="I66" s="459"/>
      <c r="J66" s="33">
        <f t="shared" si="46"/>
        <v>0</v>
      </c>
      <c r="K66" s="458" t="s">
        <v>163</v>
      </c>
      <c r="L66" s="33">
        <f t="shared" si="39"/>
        <v>0</v>
      </c>
      <c r="M66" s="33">
        <f t="shared" si="2"/>
        <v>0</v>
      </c>
      <c r="N66" s="34">
        <f t="shared" si="3"/>
        <v>0</v>
      </c>
      <c r="P66" s="39"/>
      <c r="Q66" s="36" t="str">
        <f t="shared" si="4"/>
        <v/>
      </c>
      <c r="R66" s="458"/>
      <c r="S66" s="275">
        <f t="shared" si="5"/>
        <v>0</v>
      </c>
      <c r="T66" s="458"/>
      <c r="U66" s="65">
        <f t="shared" si="6"/>
        <v>0</v>
      </c>
      <c r="V66" s="32">
        <f t="shared" si="7"/>
        <v>0.104</v>
      </c>
      <c r="W66" s="459"/>
      <c r="X66" s="33">
        <f t="shared" si="8"/>
        <v>0</v>
      </c>
      <c r="Y66" s="458" t="s">
        <v>163</v>
      </c>
      <c r="Z66" s="33">
        <f t="shared" si="40"/>
        <v>0</v>
      </c>
      <c r="AA66" s="33">
        <f t="shared" si="9"/>
        <v>0</v>
      </c>
      <c r="AB66" s="34">
        <f t="shared" si="10"/>
        <v>0</v>
      </c>
      <c r="AD66" s="39"/>
      <c r="AE66" s="36" t="str">
        <f t="shared" si="11"/>
        <v/>
      </c>
      <c r="AF66" s="458"/>
      <c r="AG66" s="275">
        <f t="shared" si="12"/>
        <v>0</v>
      </c>
      <c r="AH66" s="458"/>
      <c r="AI66" s="65">
        <f t="shared" si="13"/>
        <v>0</v>
      </c>
      <c r="AJ66" s="32">
        <f t="shared" si="14"/>
        <v>0.104</v>
      </c>
      <c r="AK66" s="459"/>
      <c r="AL66" s="33">
        <f t="shared" si="15"/>
        <v>0</v>
      </c>
      <c r="AM66" s="458" t="s">
        <v>163</v>
      </c>
      <c r="AN66" s="33">
        <f t="shared" si="47"/>
        <v>0</v>
      </c>
      <c r="AO66" s="33">
        <f t="shared" si="16"/>
        <v>0</v>
      </c>
      <c r="AP66" s="34">
        <f t="shared" si="17"/>
        <v>0</v>
      </c>
      <c r="AR66" s="39"/>
      <c r="AS66" s="36" t="str">
        <f t="shared" si="18"/>
        <v/>
      </c>
      <c r="AT66" s="458"/>
      <c r="AU66" s="275">
        <f t="shared" si="19"/>
        <v>0</v>
      </c>
      <c r="AV66" s="458"/>
      <c r="AW66" s="65">
        <f t="shared" si="20"/>
        <v>0</v>
      </c>
      <c r="AX66" s="32">
        <f t="shared" si="21"/>
        <v>0.104</v>
      </c>
      <c r="AY66" s="459"/>
      <c r="AZ66" s="33">
        <f t="shared" si="22"/>
        <v>0</v>
      </c>
      <c r="BA66" s="458" t="s">
        <v>163</v>
      </c>
      <c r="BB66" s="33">
        <f t="shared" si="48"/>
        <v>0</v>
      </c>
      <c r="BC66" s="33">
        <f t="shared" si="23"/>
        <v>0</v>
      </c>
      <c r="BD66" s="34">
        <f t="shared" si="24"/>
        <v>0</v>
      </c>
      <c r="BF66" s="39"/>
      <c r="BG66" s="36" t="str">
        <f t="shared" si="25"/>
        <v/>
      </c>
      <c r="BH66" s="458"/>
      <c r="BI66" s="275">
        <f t="shared" si="26"/>
        <v>0</v>
      </c>
      <c r="BJ66" s="458"/>
      <c r="BK66" s="65">
        <f t="shared" si="27"/>
        <v>0</v>
      </c>
      <c r="BL66" s="32">
        <f t="shared" si="28"/>
        <v>0.104</v>
      </c>
      <c r="BM66" s="459"/>
      <c r="BN66" s="33">
        <f t="shared" si="29"/>
        <v>0</v>
      </c>
      <c r="BO66" s="458" t="s">
        <v>163</v>
      </c>
      <c r="BP66" s="33">
        <f t="shared" si="49"/>
        <v>0</v>
      </c>
      <c r="BQ66" s="33">
        <f t="shared" si="30"/>
        <v>0</v>
      </c>
      <c r="BR66" s="34">
        <f t="shared" si="31"/>
        <v>0</v>
      </c>
      <c r="BT66" s="39"/>
      <c r="BU66" s="36" t="str">
        <f t="shared" si="32"/>
        <v/>
      </c>
      <c r="BV66" s="458"/>
      <c r="BW66" s="275">
        <f t="shared" si="33"/>
        <v>0</v>
      </c>
      <c r="BX66" s="458"/>
      <c r="BY66" s="65">
        <f t="shared" si="34"/>
        <v>0</v>
      </c>
      <c r="BZ66" s="32">
        <f t="shared" si="35"/>
        <v>0.104</v>
      </c>
      <c r="CA66" s="459"/>
      <c r="CB66" s="33">
        <f t="shared" si="36"/>
        <v>0</v>
      </c>
      <c r="CC66" s="458" t="s">
        <v>163</v>
      </c>
      <c r="CD66" s="33">
        <f t="shared" si="50"/>
        <v>0</v>
      </c>
      <c r="CE66" s="33">
        <f t="shared" si="37"/>
        <v>0</v>
      </c>
      <c r="CF66" s="34">
        <f t="shared" si="38"/>
        <v>0</v>
      </c>
    </row>
    <row r="67" spans="2:84" ht="18" hidden="1" customHeight="1" x14ac:dyDescent="0.35">
      <c r="B67" s="39"/>
      <c r="C67" s="457"/>
      <c r="D67" s="458"/>
      <c r="E67" s="458"/>
      <c r="F67" s="458"/>
      <c r="G67" s="459"/>
      <c r="H67" s="32">
        <f t="shared" si="45"/>
        <v>0.104</v>
      </c>
      <c r="I67" s="459"/>
      <c r="J67" s="33">
        <f t="shared" si="46"/>
        <v>0</v>
      </c>
      <c r="K67" s="458" t="s">
        <v>163</v>
      </c>
      <c r="L67" s="33">
        <f t="shared" si="39"/>
        <v>0</v>
      </c>
      <c r="M67" s="33">
        <f t="shared" si="2"/>
        <v>0</v>
      </c>
      <c r="N67" s="34">
        <f t="shared" si="3"/>
        <v>0</v>
      </c>
      <c r="P67" s="39"/>
      <c r="Q67" s="36" t="str">
        <f t="shared" si="4"/>
        <v/>
      </c>
      <c r="R67" s="458"/>
      <c r="S67" s="275">
        <f t="shared" si="5"/>
        <v>0</v>
      </c>
      <c r="T67" s="458"/>
      <c r="U67" s="65">
        <f t="shared" si="6"/>
        <v>0</v>
      </c>
      <c r="V67" s="32">
        <f t="shared" si="7"/>
        <v>0.104</v>
      </c>
      <c r="W67" s="459"/>
      <c r="X67" s="33">
        <f t="shared" si="8"/>
        <v>0</v>
      </c>
      <c r="Y67" s="458" t="s">
        <v>163</v>
      </c>
      <c r="Z67" s="33">
        <f t="shared" si="40"/>
        <v>0</v>
      </c>
      <c r="AA67" s="33">
        <f t="shared" si="9"/>
        <v>0</v>
      </c>
      <c r="AB67" s="34">
        <f t="shared" si="10"/>
        <v>0</v>
      </c>
      <c r="AD67" s="39"/>
      <c r="AE67" s="36" t="str">
        <f t="shared" si="11"/>
        <v/>
      </c>
      <c r="AF67" s="458"/>
      <c r="AG67" s="275">
        <f t="shared" si="12"/>
        <v>0</v>
      </c>
      <c r="AH67" s="458"/>
      <c r="AI67" s="65">
        <f t="shared" si="13"/>
        <v>0</v>
      </c>
      <c r="AJ67" s="32">
        <f t="shared" si="14"/>
        <v>0.104</v>
      </c>
      <c r="AK67" s="459"/>
      <c r="AL67" s="33">
        <f t="shared" si="15"/>
        <v>0</v>
      </c>
      <c r="AM67" s="458" t="s">
        <v>163</v>
      </c>
      <c r="AN67" s="33">
        <f t="shared" si="47"/>
        <v>0</v>
      </c>
      <c r="AO67" s="33">
        <f t="shared" si="16"/>
        <v>0</v>
      </c>
      <c r="AP67" s="34">
        <f t="shared" si="17"/>
        <v>0</v>
      </c>
      <c r="AR67" s="39"/>
      <c r="AS67" s="36" t="str">
        <f t="shared" si="18"/>
        <v/>
      </c>
      <c r="AT67" s="458"/>
      <c r="AU67" s="275">
        <f t="shared" si="19"/>
        <v>0</v>
      </c>
      <c r="AV67" s="458"/>
      <c r="AW67" s="65">
        <f t="shared" si="20"/>
        <v>0</v>
      </c>
      <c r="AX67" s="32">
        <f t="shared" si="21"/>
        <v>0.104</v>
      </c>
      <c r="AY67" s="459"/>
      <c r="AZ67" s="33">
        <f t="shared" si="22"/>
        <v>0</v>
      </c>
      <c r="BA67" s="458" t="s">
        <v>163</v>
      </c>
      <c r="BB67" s="33">
        <f t="shared" si="48"/>
        <v>0</v>
      </c>
      <c r="BC67" s="33">
        <f t="shared" si="23"/>
        <v>0</v>
      </c>
      <c r="BD67" s="34">
        <f t="shared" si="24"/>
        <v>0</v>
      </c>
      <c r="BF67" s="39"/>
      <c r="BG67" s="36" t="str">
        <f t="shared" si="25"/>
        <v/>
      </c>
      <c r="BH67" s="458"/>
      <c r="BI67" s="275">
        <f t="shared" si="26"/>
        <v>0</v>
      </c>
      <c r="BJ67" s="458"/>
      <c r="BK67" s="65">
        <f t="shared" si="27"/>
        <v>0</v>
      </c>
      <c r="BL67" s="32">
        <f t="shared" si="28"/>
        <v>0.104</v>
      </c>
      <c r="BM67" s="459"/>
      <c r="BN67" s="33">
        <f t="shared" si="29"/>
        <v>0</v>
      </c>
      <c r="BO67" s="458" t="s">
        <v>163</v>
      </c>
      <c r="BP67" s="33">
        <f t="shared" si="49"/>
        <v>0</v>
      </c>
      <c r="BQ67" s="33">
        <f t="shared" si="30"/>
        <v>0</v>
      </c>
      <c r="BR67" s="34">
        <f t="shared" si="31"/>
        <v>0</v>
      </c>
      <c r="BT67" s="39"/>
      <c r="BU67" s="36" t="str">
        <f t="shared" si="32"/>
        <v/>
      </c>
      <c r="BV67" s="458"/>
      <c r="BW67" s="275">
        <f t="shared" si="33"/>
        <v>0</v>
      </c>
      <c r="BX67" s="458"/>
      <c r="BY67" s="65">
        <f t="shared" si="34"/>
        <v>0</v>
      </c>
      <c r="BZ67" s="32">
        <f t="shared" si="35"/>
        <v>0.104</v>
      </c>
      <c r="CA67" s="459"/>
      <c r="CB67" s="33">
        <f t="shared" si="36"/>
        <v>0</v>
      </c>
      <c r="CC67" s="458" t="s">
        <v>163</v>
      </c>
      <c r="CD67" s="33">
        <f t="shared" si="50"/>
        <v>0</v>
      </c>
      <c r="CE67" s="33">
        <f t="shared" si="37"/>
        <v>0</v>
      </c>
      <c r="CF67" s="34">
        <f t="shared" si="38"/>
        <v>0</v>
      </c>
    </row>
    <row r="68" spans="2:84" ht="18" hidden="1" customHeight="1" x14ac:dyDescent="0.35">
      <c r="B68" s="39"/>
      <c r="C68" s="457"/>
      <c r="D68" s="458"/>
      <c r="E68" s="458"/>
      <c r="F68" s="458"/>
      <c r="G68" s="459"/>
      <c r="H68" s="32">
        <f t="shared" si="45"/>
        <v>0.104</v>
      </c>
      <c r="I68" s="459"/>
      <c r="J68" s="33">
        <f t="shared" si="46"/>
        <v>0</v>
      </c>
      <c r="K68" s="458" t="s">
        <v>163</v>
      </c>
      <c r="L68" s="33">
        <f t="shared" si="39"/>
        <v>0</v>
      </c>
      <c r="M68" s="33">
        <f t="shared" si="2"/>
        <v>0</v>
      </c>
      <c r="N68" s="34">
        <f t="shared" si="3"/>
        <v>0</v>
      </c>
      <c r="P68" s="39"/>
      <c r="Q68" s="36" t="str">
        <f t="shared" si="4"/>
        <v/>
      </c>
      <c r="R68" s="458"/>
      <c r="S68" s="275">
        <f t="shared" si="5"/>
        <v>0</v>
      </c>
      <c r="T68" s="458"/>
      <c r="U68" s="65">
        <f t="shared" si="6"/>
        <v>0</v>
      </c>
      <c r="V68" s="32">
        <f t="shared" si="7"/>
        <v>0.104</v>
      </c>
      <c r="W68" s="459"/>
      <c r="X68" s="33">
        <f t="shared" si="8"/>
        <v>0</v>
      </c>
      <c r="Y68" s="458" t="s">
        <v>163</v>
      </c>
      <c r="Z68" s="33">
        <f t="shared" si="40"/>
        <v>0</v>
      </c>
      <c r="AA68" s="33">
        <f t="shared" si="9"/>
        <v>0</v>
      </c>
      <c r="AB68" s="34">
        <f t="shared" si="10"/>
        <v>0</v>
      </c>
      <c r="AD68" s="39"/>
      <c r="AE68" s="36" t="str">
        <f t="shared" si="11"/>
        <v/>
      </c>
      <c r="AF68" s="458"/>
      <c r="AG68" s="275">
        <f t="shared" si="12"/>
        <v>0</v>
      </c>
      <c r="AH68" s="458"/>
      <c r="AI68" s="65">
        <f t="shared" si="13"/>
        <v>0</v>
      </c>
      <c r="AJ68" s="32">
        <f t="shared" si="14"/>
        <v>0.104</v>
      </c>
      <c r="AK68" s="459"/>
      <c r="AL68" s="33">
        <f t="shared" si="15"/>
        <v>0</v>
      </c>
      <c r="AM68" s="458" t="s">
        <v>163</v>
      </c>
      <c r="AN68" s="33">
        <f t="shared" si="47"/>
        <v>0</v>
      </c>
      <c r="AO68" s="33">
        <f t="shared" si="16"/>
        <v>0</v>
      </c>
      <c r="AP68" s="34">
        <f t="shared" si="17"/>
        <v>0</v>
      </c>
      <c r="AR68" s="39"/>
      <c r="AS68" s="36" t="str">
        <f t="shared" si="18"/>
        <v/>
      </c>
      <c r="AT68" s="458"/>
      <c r="AU68" s="275">
        <f t="shared" si="19"/>
        <v>0</v>
      </c>
      <c r="AV68" s="458"/>
      <c r="AW68" s="65">
        <f t="shared" si="20"/>
        <v>0</v>
      </c>
      <c r="AX68" s="32">
        <f t="shared" si="21"/>
        <v>0.104</v>
      </c>
      <c r="AY68" s="459"/>
      <c r="AZ68" s="33">
        <f t="shared" si="22"/>
        <v>0</v>
      </c>
      <c r="BA68" s="458" t="s">
        <v>163</v>
      </c>
      <c r="BB68" s="33">
        <f t="shared" si="48"/>
        <v>0</v>
      </c>
      <c r="BC68" s="33">
        <f t="shared" si="23"/>
        <v>0</v>
      </c>
      <c r="BD68" s="34">
        <f t="shared" si="24"/>
        <v>0</v>
      </c>
      <c r="BF68" s="39"/>
      <c r="BG68" s="36" t="str">
        <f t="shared" si="25"/>
        <v/>
      </c>
      <c r="BH68" s="458"/>
      <c r="BI68" s="275">
        <f t="shared" si="26"/>
        <v>0</v>
      </c>
      <c r="BJ68" s="458"/>
      <c r="BK68" s="65">
        <f t="shared" si="27"/>
        <v>0</v>
      </c>
      <c r="BL68" s="32">
        <f t="shared" si="28"/>
        <v>0.104</v>
      </c>
      <c r="BM68" s="459"/>
      <c r="BN68" s="33">
        <f t="shared" si="29"/>
        <v>0</v>
      </c>
      <c r="BO68" s="458" t="s">
        <v>163</v>
      </c>
      <c r="BP68" s="33">
        <f t="shared" si="49"/>
        <v>0</v>
      </c>
      <c r="BQ68" s="33">
        <f t="shared" si="30"/>
        <v>0</v>
      </c>
      <c r="BR68" s="34">
        <f t="shared" si="31"/>
        <v>0</v>
      </c>
      <c r="BT68" s="39"/>
      <c r="BU68" s="36" t="str">
        <f t="shared" si="32"/>
        <v/>
      </c>
      <c r="BV68" s="458"/>
      <c r="BW68" s="275">
        <f t="shared" si="33"/>
        <v>0</v>
      </c>
      <c r="BX68" s="458"/>
      <c r="BY68" s="65">
        <f t="shared" si="34"/>
        <v>0</v>
      </c>
      <c r="BZ68" s="32">
        <f t="shared" si="35"/>
        <v>0.104</v>
      </c>
      <c r="CA68" s="459"/>
      <c r="CB68" s="33">
        <f t="shared" si="36"/>
        <v>0</v>
      </c>
      <c r="CC68" s="458" t="s">
        <v>163</v>
      </c>
      <c r="CD68" s="33">
        <f t="shared" si="50"/>
        <v>0</v>
      </c>
      <c r="CE68" s="33">
        <f t="shared" si="37"/>
        <v>0</v>
      </c>
      <c r="CF68" s="34">
        <f t="shared" si="38"/>
        <v>0</v>
      </c>
    </row>
    <row r="69" spans="2:84" ht="18" customHeight="1" thickBot="1" x14ac:dyDescent="0.4">
      <c r="B69" s="40"/>
      <c r="C69" s="41" t="s">
        <v>182</v>
      </c>
      <c r="D69" s="42"/>
      <c r="E69" s="42"/>
      <c r="F69" s="43"/>
      <c r="G69" s="43"/>
      <c r="H69" s="43"/>
      <c r="I69" s="44"/>
      <c r="J69" s="43"/>
      <c r="K69" s="43"/>
      <c r="L69" s="43"/>
      <c r="M69" s="43"/>
      <c r="N69" s="45" t="str">
        <f>IF(OR(months_baseline&lt;&gt;COUNTIF(C$9:C$68,"&gt;0"), months_baseline="-"),"ERROR", SUM(_xlfn.TAKE(N$9:N$68,months_baseline)))</f>
        <v>ERROR</v>
      </c>
      <c r="P69" s="40"/>
      <c r="Q69" s="41" t="s">
        <v>182</v>
      </c>
      <c r="R69" s="42"/>
      <c r="S69" s="42"/>
      <c r="T69" s="43"/>
      <c r="U69" s="43"/>
      <c r="V69" s="43"/>
      <c r="W69" s="44"/>
      <c r="X69" s="43"/>
      <c r="Y69" s="43"/>
      <c r="Z69" s="43"/>
      <c r="AA69" s="43"/>
      <c r="AB69" s="45" t="str">
        <f>IF(OR(months_baseline&lt;&gt;COUNTIF(Q$9:Q$68,"&gt;0"), months_baseline="-"),"ERROR", SUM(_xlfn.TAKE(AB$9:AB$68,months_baseline)))</f>
        <v>ERROR</v>
      </c>
      <c r="AD69" s="40"/>
      <c r="AE69" s="41" t="s">
        <v>182</v>
      </c>
      <c r="AF69" s="42"/>
      <c r="AG69" s="42"/>
      <c r="AH69" s="43"/>
      <c r="AI69" s="43"/>
      <c r="AJ69" s="43"/>
      <c r="AK69" s="44"/>
      <c r="AL69" s="43"/>
      <c r="AM69" s="43"/>
      <c r="AN69" s="43"/>
      <c r="AO69" s="43"/>
      <c r="AP69" s="45" t="str">
        <f>IF(OR(months_baseline&lt;&gt;COUNTIF(AE$9:AE$68,"&gt;0"), months_baseline="-"),"ERROR", SUM(_xlfn.TAKE(AP$9:AP$68,months_baseline)))</f>
        <v>ERROR</v>
      </c>
      <c r="AR69" s="40"/>
      <c r="AS69" s="41" t="s">
        <v>182</v>
      </c>
      <c r="AT69" s="42"/>
      <c r="AU69" s="42"/>
      <c r="AV69" s="43"/>
      <c r="AW69" s="43"/>
      <c r="AX69" s="43"/>
      <c r="AY69" s="44"/>
      <c r="AZ69" s="43"/>
      <c r="BA69" s="43"/>
      <c r="BB69" s="43"/>
      <c r="BC69" s="43"/>
      <c r="BD69" s="45" t="str">
        <f>IF(OR(months_baseline&lt;&gt;COUNTIF(AS$9:AS$68,"&gt;0"), months_baseline="-"),"ERROR", SUM(_xlfn.TAKE(BD$9:BD$68,months_baseline)))</f>
        <v>ERROR</v>
      </c>
      <c r="BF69" s="40"/>
      <c r="BG69" s="41" t="s">
        <v>182</v>
      </c>
      <c r="BH69" s="42"/>
      <c r="BI69" s="42"/>
      <c r="BJ69" s="43"/>
      <c r="BK69" s="43"/>
      <c r="BL69" s="43"/>
      <c r="BM69" s="44"/>
      <c r="BN69" s="43"/>
      <c r="BO69" s="43"/>
      <c r="BP69" s="43"/>
      <c r="BQ69" s="43"/>
      <c r="BR69" s="45" t="str">
        <f>IF(OR(months_baseline&lt;&gt;COUNTIF(BG$9:BG$68,"&gt;0"), months_baseline="-"),"ERROR", SUM(_xlfn.TAKE(BR$9:BR$68,months_baseline)))</f>
        <v>ERROR</v>
      </c>
      <c r="BT69" s="40"/>
      <c r="BU69" s="41" t="s">
        <v>182</v>
      </c>
      <c r="BV69" s="42"/>
      <c r="BW69" s="42"/>
      <c r="BX69" s="43"/>
      <c r="BY69" s="43"/>
      <c r="BZ69" s="43"/>
      <c r="CA69" s="44"/>
      <c r="CB69" s="43"/>
      <c r="CC69" s="43"/>
      <c r="CD69" s="43"/>
      <c r="CE69" s="43"/>
      <c r="CF69" s="45" t="str">
        <f>IF(OR(months_baseline&lt;&gt;COUNTIF(BU$9:BU$68,"&gt;0"), months_baseline="-"),"ERROR", SUM(_xlfn.TAKE(CF$9:CF$68,months_baseline)))</f>
        <v>ERROR</v>
      </c>
    </row>
    <row r="70" spans="2:84" x14ac:dyDescent="0.35">
      <c r="G70" s="46"/>
    </row>
    <row r="71" spans="2:84" ht="15" thickBot="1" x14ac:dyDescent="0.4">
      <c r="G71" s="46"/>
    </row>
    <row r="72" spans="2:84" ht="40.5" customHeight="1" thickBot="1" x14ac:dyDescent="0.4">
      <c r="B72" s="843" t="s">
        <v>683</v>
      </c>
      <c r="C72" s="844"/>
      <c r="D72" s="844"/>
      <c r="E72" s="844"/>
      <c r="F72" s="844"/>
      <c r="G72" s="844"/>
      <c r="H72" s="844"/>
      <c r="I72" s="845"/>
    </row>
    <row r="73" spans="2:84" ht="51" customHeight="1" x14ac:dyDescent="0.35">
      <c r="B73" s="47"/>
      <c r="C73" s="464" t="s">
        <v>684</v>
      </c>
      <c r="D73" s="846" t="s">
        <v>685</v>
      </c>
      <c r="E73" s="847"/>
      <c r="F73" s="847"/>
      <c r="G73" s="847"/>
      <c r="H73" s="847"/>
      <c r="I73" s="848"/>
      <c r="J73" s="48"/>
    </row>
    <row r="74" spans="2:84" ht="34.5" customHeight="1" x14ac:dyDescent="0.35">
      <c r="B74" s="49" t="s">
        <v>183</v>
      </c>
      <c r="C74" s="50"/>
      <c r="D74" s="51">
        <f>$B$7</f>
        <v>0</v>
      </c>
      <c r="E74" s="51">
        <f>$P$7</f>
        <v>0</v>
      </c>
      <c r="F74" s="51" t="str">
        <f>$AD$7</f>
        <v>-</v>
      </c>
      <c r="G74" s="51" t="str">
        <f>$AR$7</f>
        <v>-</v>
      </c>
      <c r="H74" s="51" t="str">
        <f>$BF$7</f>
        <v>-</v>
      </c>
      <c r="I74" s="52" t="str">
        <f>$BT$7</f>
        <v>-</v>
      </c>
      <c r="J74" s="48"/>
    </row>
    <row r="75" spans="2:84" ht="25.5" customHeight="1" x14ac:dyDescent="0.35">
      <c r="B75" s="49" t="s">
        <v>184</v>
      </c>
      <c r="C75" s="53"/>
      <c r="D75" s="54"/>
      <c r="E75" s="54"/>
      <c r="F75" s="54"/>
      <c r="G75" s="54"/>
      <c r="H75" s="54"/>
      <c r="I75" s="55"/>
      <c r="J75" s="48"/>
    </row>
    <row r="76" spans="2:84" ht="18" customHeight="1" x14ac:dyDescent="0.35">
      <c r="B76" s="465" t="s">
        <v>185</v>
      </c>
      <c r="C76" s="275">
        <f>IFERROR(IF(B76&gt;0, VLOOKUP(B76, Background!$C$139:$V$155, MATCH(BiogasToBiomethane!$F$20, Background!$C$139:$V$139), FALSE),0),0)</f>
        <v>0</v>
      </c>
      <c r="D76" s="466"/>
      <c r="E76" s="466"/>
      <c r="F76" s="466"/>
      <c r="G76" s="466"/>
      <c r="H76" s="466"/>
      <c r="I76" s="467"/>
      <c r="J76" s="48"/>
    </row>
    <row r="77" spans="2:84" ht="18" customHeight="1" x14ac:dyDescent="0.35">
      <c r="B77" s="465" t="s">
        <v>185</v>
      </c>
      <c r="C77" s="275">
        <f>IFERROR(IF(B77&gt;0, VLOOKUP(B77, Background!$C$139:$V$155, MATCH(BiogasToBiomethane!$F$20, Background!$C$139:$V$139), FALSE),0),0)</f>
        <v>0</v>
      </c>
      <c r="D77" s="466"/>
      <c r="E77" s="466"/>
      <c r="F77" s="466"/>
      <c r="G77" s="466"/>
      <c r="H77" s="466"/>
      <c r="I77" s="467"/>
      <c r="J77" s="48"/>
    </row>
    <row r="78" spans="2:84" ht="18" customHeight="1" x14ac:dyDescent="0.35">
      <c r="B78" s="465" t="s">
        <v>185</v>
      </c>
      <c r="C78" s="275">
        <f>IFERROR(IF(B78&gt;0, VLOOKUP(B78, Background!$C$139:$V$155, MATCH(BiogasToBiomethane!$F$20, Background!$C$139:$V$139), FALSE),0),0)</f>
        <v>0</v>
      </c>
      <c r="D78" s="466"/>
      <c r="E78" s="466"/>
      <c r="F78" s="466"/>
      <c r="G78" s="466"/>
      <c r="H78" s="466"/>
      <c r="I78" s="467"/>
      <c r="J78" s="48"/>
    </row>
    <row r="79" spans="2:84" ht="18" customHeight="1" x14ac:dyDescent="0.35">
      <c r="B79" s="465" t="s">
        <v>185</v>
      </c>
      <c r="C79" s="275">
        <f>IFERROR(IF(B79&gt;0, VLOOKUP(B79, Background!$C$139:$V$155, MATCH(BiogasToBiomethane!$F$20, Background!$C$139:$V$139), FALSE),0),0)</f>
        <v>0</v>
      </c>
      <c r="D79" s="466"/>
      <c r="E79" s="466"/>
      <c r="F79" s="466"/>
      <c r="G79" s="466"/>
      <c r="H79" s="466"/>
      <c r="I79" s="467"/>
      <c r="J79" s="48"/>
    </row>
    <row r="80" spans="2:84" ht="18" customHeight="1" x14ac:dyDescent="0.35">
      <c r="B80" s="465" t="s">
        <v>185</v>
      </c>
      <c r="C80" s="275">
        <f>IFERROR(IF(B80&gt;0, VLOOKUP(B80, Background!$C$139:$V$155, MATCH(BiogasToBiomethane!$F$20, Background!$C$139:$V$139), FALSE),0),0)</f>
        <v>0</v>
      </c>
      <c r="D80" s="466"/>
      <c r="E80" s="466"/>
      <c r="F80" s="466"/>
      <c r="G80" s="466"/>
      <c r="H80" s="466"/>
      <c r="I80" s="467"/>
      <c r="J80" s="48"/>
    </row>
    <row r="81" spans="2:14" ht="18" customHeight="1" x14ac:dyDescent="0.35">
      <c r="B81" s="465" t="s">
        <v>185</v>
      </c>
      <c r="C81" s="275">
        <f>IFERROR(IF(B81&gt;0, VLOOKUP(B81, Background!$C$139:$V$155, MATCH(BiogasToBiomethane!$F$20, Background!$C$139:$V$139), FALSE),0),0)</f>
        <v>0</v>
      </c>
      <c r="D81" s="466"/>
      <c r="E81" s="466"/>
      <c r="F81" s="466"/>
      <c r="G81" s="466"/>
      <c r="H81" s="466"/>
      <c r="I81" s="467"/>
      <c r="J81" s="48"/>
    </row>
    <row r="82" spans="2:14" ht="18" customHeight="1" x14ac:dyDescent="0.45">
      <c r="B82" s="465" t="s">
        <v>185</v>
      </c>
      <c r="C82" s="275">
        <f>IFERROR(IF(B82&gt;0, VLOOKUP(B82, Background!$C$139:$V$155, MATCH(BiogasToBiomethane!$F$20, Background!$C$139:$V$139), FALSE),0),0)</f>
        <v>0</v>
      </c>
      <c r="D82" s="466"/>
      <c r="E82" s="466"/>
      <c r="F82" s="466"/>
      <c r="G82" s="466"/>
      <c r="H82" s="466"/>
      <c r="I82" s="467"/>
      <c r="J82" s="56" t="s">
        <v>186</v>
      </c>
    </row>
    <row r="83" spans="2:14" ht="59.5" customHeight="1" thickBot="1" x14ac:dyDescent="0.4">
      <c r="B83" s="268" t="s">
        <v>187</v>
      </c>
      <c r="C83" s="264"/>
      <c r="D83" s="57">
        <f>IFERROR(($D$120*$E$120*$I$120)*SUMPRODUCT($C$76:$C$82,D76:D82)*$C$120*density_CH4*g2MT/ft32m3, 0)</f>
        <v>0</v>
      </c>
      <c r="E83" s="58">
        <f>IFERROR(($D$121*$E$121*$I$120)*SUMPRODUCT($C$76:$C$82,E76:E82)*$C$121*density_CH4*g2MT/ft32m3,0)</f>
        <v>0</v>
      </c>
      <c r="F83" s="58">
        <f>IFERROR(($D$122*$E$122*$I$120)*SUMPRODUCT($C$76:$C$82,F76:F82)*$C$122*density_CH4*g2MT/ft32m3,0)</f>
        <v>0</v>
      </c>
      <c r="G83" s="58">
        <f>IFERROR(($D$123*$E$123*$I$120)*SUMPRODUCT($C$76:$C$82,G76:G82)*$C$123*density_CH4*g2MT/ft32m3,0)</f>
        <v>0</v>
      </c>
      <c r="H83" s="58">
        <f>IFERROR(($D$124*$E$124*$I$120)*SUMPRODUCT($C$76:$C$82,H76:H82)*$C$124*density_CH4*g2MT/ft32m3,0)</f>
        <v>0</v>
      </c>
      <c r="I83" s="59">
        <f>IFERROR(($D$125*$E$125*$I$120)*SUMPRODUCT($C$76:$C$82,I76:I82)*$C$125*density_CH4*g2MT/ft32m3,0)</f>
        <v>0</v>
      </c>
      <c r="J83" s="60">
        <f>SUM(D83:I83)</f>
        <v>0</v>
      </c>
    </row>
    <row r="85" spans="2:14" ht="15" thickBot="1" x14ac:dyDescent="0.4"/>
    <row r="86" spans="2:14" ht="47.25" customHeight="1" thickBot="1" x14ac:dyDescent="0.4">
      <c r="B86" s="843" t="s">
        <v>686</v>
      </c>
      <c r="C86" s="844"/>
      <c r="D86" s="844"/>
      <c r="E86" s="844"/>
      <c r="F86" s="844"/>
      <c r="G86" s="844"/>
      <c r="H86" s="844"/>
      <c r="I86" s="845"/>
      <c r="N86" s="61"/>
    </row>
    <row r="87" spans="2:14" ht="47.25" customHeight="1" thickBot="1" x14ac:dyDescent="0.4">
      <c r="B87" s="853" t="s">
        <v>188</v>
      </c>
      <c r="C87" s="855" t="s">
        <v>189</v>
      </c>
      <c r="D87" s="856"/>
      <c r="E87" s="856"/>
      <c r="F87" s="857"/>
      <c r="G87" s="858" t="s">
        <v>190</v>
      </c>
      <c r="H87" s="857"/>
      <c r="I87" s="859" t="s">
        <v>191</v>
      </c>
      <c r="N87" s="61"/>
    </row>
    <row r="88" spans="2:14" ht="95.5" customHeight="1" x14ac:dyDescent="0.35">
      <c r="B88" s="854"/>
      <c r="C88" s="471" t="s">
        <v>687</v>
      </c>
      <c r="D88" s="464" t="s">
        <v>192</v>
      </c>
      <c r="E88" s="464" t="s">
        <v>193</v>
      </c>
      <c r="F88" s="472" t="s">
        <v>194</v>
      </c>
      <c r="G88" s="473" t="s">
        <v>195</v>
      </c>
      <c r="H88" s="474" t="s">
        <v>196</v>
      </c>
      <c r="I88" s="860"/>
    </row>
    <row r="89" spans="2:14" ht="33" x14ac:dyDescent="0.35">
      <c r="B89" s="452"/>
      <c r="C89" s="453" t="s">
        <v>688</v>
      </c>
      <c r="D89" s="453" t="s">
        <v>546</v>
      </c>
      <c r="E89" s="453" t="s">
        <v>197</v>
      </c>
      <c r="F89" s="455" t="s">
        <v>689</v>
      </c>
      <c r="G89" s="475" t="s">
        <v>690</v>
      </c>
      <c r="H89" s="476" t="s">
        <v>198</v>
      </c>
      <c r="I89" s="477" t="s">
        <v>691</v>
      </c>
    </row>
    <row r="90" spans="2:14" ht="18" customHeight="1" x14ac:dyDescent="0.35">
      <c r="B90" s="36" t="str">
        <f>IF(BiogasToBiomethane!B28=0, " ",BiogasToBiomethane!B28)</f>
        <v xml:space="preserve"> </v>
      </c>
      <c r="C90" s="478"/>
      <c r="D90" s="478"/>
      <c r="E90" s="458"/>
      <c r="F90" s="479"/>
      <c r="G90" s="480"/>
      <c r="H90" s="481"/>
      <c r="I90" s="260">
        <f t="shared" ref="I90:I113" si="90">((C90+D90*E90)*F90+(G90*H90))*density_CH4*g2MT</f>
        <v>0</v>
      </c>
    </row>
    <row r="91" spans="2:14" ht="18" customHeight="1" x14ac:dyDescent="0.35">
      <c r="B91" s="36" t="str">
        <f>IF(BiogasToBiomethane!B29=0, " ",BiogasToBiomethane!B29)</f>
        <v xml:space="preserve"> </v>
      </c>
      <c r="C91" s="478"/>
      <c r="D91" s="478"/>
      <c r="E91" s="458"/>
      <c r="F91" s="479"/>
      <c r="G91" s="480"/>
      <c r="H91" s="481"/>
      <c r="I91" s="260">
        <f t="shared" si="90"/>
        <v>0</v>
      </c>
    </row>
    <row r="92" spans="2:14" ht="18" customHeight="1" x14ac:dyDescent="0.35">
      <c r="B92" s="36" t="str">
        <f>IF(BiogasToBiomethane!B30=0, " ",BiogasToBiomethane!B30)</f>
        <v xml:space="preserve"> </v>
      </c>
      <c r="C92" s="478"/>
      <c r="D92" s="478"/>
      <c r="E92" s="458"/>
      <c r="F92" s="479"/>
      <c r="G92" s="480"/>
      <c r="H92" s="481"/>
      <c r="I92" s="260">
        <f t="shared" si="90"/>
        <v>0</v>
      </c>
    </row>
    <row r="93" spans="2:14" ht="18" customHeight="1" x14ac:dyDescent="0.35">
      <c r="B93" s="36" t="str">
        <f>IF(BiogasToBiomethane!B31=0, " ",BiogasToBiomethane!B31)</f>
        <v xml:space="preserve"> </v>
      </c>
      <c r="C93" s="478"/>
      <c r="D93" s="478"/>
      <c r="E93" s="458"/>
      <c r="F93" s="479"/>
      <c r="G93" s="480"/>
      <c r="H93" s="481"/>
      <c r="I93" s="260">
        <f t="shared" si="90"/>
        <v>0</v>
      </c>
    </row>
    <row r="94" spans="2:14" ht="18" customHeight="1" x14ac:dyDescent="0.35">
      <c r="B94" s="36" t="str">
        <f>IF(BiogasToBiomethane!B32=0, " ",BiogasToBiomethane!B32)</f>
        <v xml:space="preserve"> </v>
      </c>
      <c r="C94" s="478"/>
      <c r="D94" s="478"/>
      <c r="E94" s="458"/>
      <c r="F94" s="479"/>
      <c r="G94" s="480"/>
      <c r="H94" s="481"/>
      <c r="I94" s="260">
        <f t="shared" si="90"/>
        <v>0</v>
      </c>
    </row>
    <row r="95" spans="2:14" ht="18" customHeight="1" x14ac:dyDescent="0.35">
      <c r="B95" s="36" t="str">
        <f>IF(BiogasToBiomethane!B33=0, " ",BiogasToBiomethane!B33)</f>
        <v xml:space="preserve"> </v>
      </c>
      <c r="C95" s="478"/>
      <c r="D95" s="478"/>
      <c r="E95" s="458"/>
      <c r="F95" s="479"/>
      <c r="G95" s="480"/>
      <c r="H95" s="481"/>
      <c r="I95" s="260">
        <f t="shared" si="90"/>
        <v>0</v>
      </c>
    </row>
    <row r="96" spans="2:14" ht="18" customHeight="1" x14ac:dyDescent="0.35">
      <c r="B96" s="36" t="str">
        <f>IF(BiogasToBiomethane!B34=0, " ",BiogasToBiomethane!B34)</f>
        <v xml:space="preserve"> </v>
      </c>
      <c r="C96" s="478"/>
      <c r="D96" s="478"/>
      <c r="E96" s="458"/>
      <c r="F96" s="479"/>
      <c r="G96" s="480"/>
      <c r="H96" s="481"/>
      <c r="I96" s="260">
        <f t="shared" si="90"/>
        <v>0</v>
      </c>
    </row>
    <row r="97" spans="2:9" ht="18" customHeight="1" x14ac:dyDescent="0.35">
      <c r="B97" s="36" t="str">
        <f>IF(BiogasToBiomethane!B35=0, " ",BiogasToBiomethane!B35)</f>
        <v xml:space="preserve"> </v>
      </c>
      <c r="C97" s="478"/>
      <c r="D97" s="478"/>
      <c r="E97" s="458"/>
      <c r="F97" s="479"/>
      <c r="G97" s="480"/>
      <c r="H97" s="481"/>
      <c r="I97" s="260">
        <f t="shared" si="90"/>
        <v>0</v>
      </c>
    </row>
    <row r="98" spans="2:9" ht="18" customHeight="1" x14ac:dyDescent="0.35">
      <c r="B98" s="36" t="str">
        <f>IF(BiogasToBiomethane!B36=0, " ",BiogasToBiomethane!B36)</f>
        <v xml:space="preserve"> </v>
      </c>
      <c r="C98" s="478"/>
      <c r="D98" s="478"/>
      <c r="E98" s="458"/>
      <c r="F98" s="479"/>
      <c r="G98" s="480"/>
      <c r="H98" s="481"/>
      <c r="I98" s="260">
        <f t="shared" si="90"/>
        <v>0</v>
      </c>
    </row>
    <row r="99" spans="2:9" ht="18" customHeight="1" x14ac:dyDescent="0.35">
      <c r="B99" s="36" t="str">
        <f>IF(BiogasToBiomethane!B37=0, " ",BiogasToBiomethane!B37)</f>
        <v xml:space="preserve"> </v>
      </c>
      <c r="C99" s="478"/>
      <c r="D99" s="478"/>
      <c r="E99" s="458"/>
      <c r="F99" s="479"/>
      <c r="G99" s="480"/>
      <c r="H99" s="481"/>
      <c r="I99" s="260">
        <f t="shared" si="90"/>
        <v>0</v>
      </c>
    </row>
    <row r="100" spans="2:9" ht="18" customHeight="1" x14ac:dyDescent="0.35">
      <c r="B100" s="36" t="str">
        <f>IF(BiogasToBiomethane!B38=0, " ",BiogasToBiomethane!B38)</f>
        <v xml:space="preserve"> </v>
      </c>
      <c r="C100" s="478"/>
      <c r="D100" s="478"/>
      <c r="E100" s="458"/>
      <c r="F100" s="479"/>
      <c r="G100" s="480"/>
      <c r="H100" s="481"/>
      <c r="I100" s="260">
        <f t="shared" si="90"/>
        <v>0</v>
      </c>
    </row>
    <row r="101" spans="2:9" ht="18" customHeight="1" x14ac:dyDescent="0.35">
      <c r="B101" s="36" t="str">
        <f>IF(BiogasToBiomethane!B39=0, " ",BiogasToBiomethane!B39)</f>
        <v xml:space="preserve"> </v>
      </c>
      <c r="C101" s="478"/>
      <c r="D101" s="478"/>
      <c r="E101" s="458"/>
      <c r="F101" s="479"/>
      <c r="G101" s="480"/>
      <c r="H101" s="481"/>
      <c r="I101" s="260">
        <f t="shared" si="90"/>
        <v>0</v>
      </c>
    </row>
    <row r="102" spans="2:9" ht="18" customHeight="1" x14ac:dyDescent="0.35">
      <c r="B102" s="36" t="str">
        <f>IF(BiogasToBiomethane!B40=0, " ",BiogasToBiomethane!B40)</f>
        <v xml:space="preserve"> </v>
      </c>
      <c r="C102" s="478"/>
      <c r="D102" s="478"/>
      <c r="E102" s="458"/>
      <c r="F102" s="479"/>
      <c r="G102" s="480"/>
      <c r="H102" s="481"/>
      <c r="I102" s="260">
        <f t="shared" si="90"/>
        <v>0</v>
      </c>
    </row>
    <row r="103" spans="2:9" ht="18" customHeight="1" x14ac:dyDescent="0.35">
      <c r="B103" s="36" t="str">
        <f>IF(BiogasToBiomethane!B41=0, " ",BiogasToBiomethane!B41)</f>
        <v xml:space="preserve"> </v>
      </c>
      <c r="C103" s="478"/>
      <c r="D103" s="478"/>
      <c r="E103" s="458"/>
      <c r="F103" s="479"/>
      <c r="G103" s="480"/>
      <c r="H103" s="481"/>
      <c r="I103" s="260">
        <f t="shared" si="90"/>
        <v>0</v>
      </c>
    </row>
    <row r="104" spans="2:9" ht="18" customHeight="1" x14ac:dyDescent="0.35">
      <c r="B104" s="36" t="str">
        <f>IF(BiogasToBiomethane!B42=0, " ",BiogasToBiomethane!B42)</f>
        <v xml:space="preserve"> </v>
      </c>
      <c r="C104" s="478"/>
      <c r="D104" s="478"/>
      <c r="E104" s="458"/>
      <c r="F104" s="479"/>
      <c r="G104" s="480"/>
      <c r="H104" s="481"/>
      <c r="I104" s="260">
        <f t="shared" si="90"/>
        <v>0</v>
      </c>
    </row>
    <row r="105" spans="2:9" ht="18" customHeight="1" x14ac:dyDescent="0.35">
      <c r="B105" s="36" t="str">
        <f>IF(BiogasToBiomethane!B43=0, " ",BiogasToBiomethane!B43)</f>
        <v xml:space="preserve"> </v>
      </c>
      <c r="C105" s="478"/>
      <c r="D105" s="478"/>
      <c r="E105" s="458"/>
      <c r="F105" s="479"/>
      <c r="G105" s="480"/>
      <c r="H105" s="481"/>
      <c r="I105" s="260">
        <f t="shared" si="90"/>
        <v>0</v>
      </c>
    </row>
    <row r="106" spans="2:9" ht="18" customHeight="1" x14ac:dyDescent="0.35">
      <c r="B106" s="36" t="str">
        <f>IF(BiogasToBiomethane!B44=0, " ",BiogasToBiomethane!B44)</f>
        <v xml:space="preserve"> </v>
      </c>
      <c r="C106" s="478"/>
      <c r="D106" s="478"/>
      <c r="E106" s="458"/>
      <c r="F106" s="479"/>
      <c r="G106" s="480"/>
      <c r="H106" s="481"/>
      <c r="I106" s="260">
        <f t="shared" si="90"/>
        <v>0</v>
      </c>
    </row>
    <row r="107" spans="2:9" ht="18" customHeight="1" x14ac:dyDescent="0.35">
      <c r="B107" s="36" t="str">
        <f>IF(BiogasToBiomethane!B45=0, " ",BiogasToBiomethane!B45)</f>
        <v xml:space="preserve"> </v>
      </c>
      <c r="C107" s="478"/>
      <c r="D107" s="478"/>
      <c r="E107" s="458"/>
      <c r="F107" s="479"/>
      <c r="G107" s="480"/>
      <c r="H107" s="481"/>
      <c r="I107" s="260">
        <f t="shared" si="90"/>
        <v>0</v>
      </c>
    </row>
    <row r="108" spans="2:9" ht="18" customHeight="1" x14ac:dyDescent="0.35">
      <c r="B108" s="36" t="str">
        <f>IF(BiogasToBiomethane!B46=0, " ",BiogasToBiomethane!B46)</f>
        <v xml:space="preserve"> </v>
      </c>
      <c r="C108" s="478"/>
      <c r="D108" s="478"/>
      <c r="E108" s="458"/>
      <c r="F108" s="479"/>
      <c r="G108" s="480"/>
      <c r="H108" s="481"/>
      <c r="I108" s="260">
        <f t="shared" si="90"/>
        <v>0</v>
      </c>
    </row>
    <row r="109" spans="2:9" ht="18" customHeight="1" x14ac:dyDescent="0.35">
      <c r="B109" s="36" t="str">
        <f>IF(BiogasToBiomethane!B47=0, " ",BiogasToBiomethane!B47)</f>
        <v xml:space="preserve"> </v>
      </c>
      <c r="C109" s="478"/>
      <c r="D109" s="478"/>
      <c r="E109" s="458"/>
      <c r="F109" s="479"/>
      <c r="G109" s="480"/>
      <c r="H109" s="481"/>
      <c r="I109" s="260">
        <f t="shared" si="90"/>
        <v>0</v>
      </c>
    </row>
    <row r="110" spans="2:9" ht="18" customHeight="1" x14ac:dyDescent="0.35">
      <c r="B110" s="36" t="str">
        <f>IF(BiogasToBiomethane!B48=0, " ",BiogasToBiomethane!B48)</f>
        <v xml:space="preserve"> </v>
      </c>
      <c r="C110" s="478"/>
      <c r="D110" s="478"/>
      <c r="E110" s="458"/>
      <c r="F110" s="479"/>
      <c r="G110" s="480"/>
      <c r="H110" s="481"/>
      <c r="I110" s="260">
        <f t="shared" si="90"/>
        <v>0</v>
      </c>
    </row>
    <row r="111" spans="2:9" ht="18" customHeight="1" x14ac:dyDescent="0.35">
      <c r="B111" s="36" t="str">
        <f>IF(BiogasToBiomethane!B49=0, " ",BiogasToBiomethane!B49)</f>
        <v xml:space="preserve"> </v>
      </c>
      <c r="C111" s="478"/>
      <c r="D111" s="478"/>
      <c r="E111" s="458"/>
      <c r="F111" s="479"/>
      <c r="G111" s="480"/>
      <c r="H111" s="481"/>
      <c r="I111" s="260">
        <f t="shared" si="90"/>
        <v>0</v>
      </c>
    </row>
    <row r="112" spans="2:9" ht="18" customHeight="1" x14ac:dyDescent="0.35">
      <c r="B112" s="36" t="str">
        <f>IF(BiogasToBiomethane!B50=0, " ",BiogasToBiomethane!B50)</f>
        <v xml:space="preserve"> </v>
      </c>
      <c r="C112" s="478"/>
      <c r="D112" s="478"/>
      <c r="E112" s="458"/>
      <c r="F112" s="479"/>
      <c r="G112" s="480"/>
      <c r="H112" s="481"/>
      <c r="I112" s="260">
        <f t="shared" si="90"/>
        <v>0</v>
      </c>
    </row>
    <row r="113" spans="2:11" ht="18" customHeight="1" x14ac:dyDescent="0.35">
      <c r="B113" s="36" t="str">
        <f>IF(BiogasToBiomethane!B51=0, " ",BiogasToBiomethane!B51)</f>
        <v xml:space="preserve"> </v>
      </c>
      <c r="C113" s="478"/>
      <c r="D113" s="478"/>
      <c r="E113" s="458"/>
      <c r="F113" s="479"/>
      <c r="G113" s="480"/>
      <c r="H113" s="481"/>
      <c r="I113" s="260">
        <f t="shared" si="90"/>
        <v>0</v>
      </c>
    </row>
    <row r="114" spans="2:11" ht="16" thickBot="1" x14ac:dyDescent="0.4">
      <c r="B114" s="41" t="s">
        <v>182</v>
      </c>
      <c r="C114" s="62"/>
      <c r="D114" s="62"/>
      <c r="E114" s="62"/>
      <c r="F114" s="259"/>
      <c r="G114" s="262"/>
      <c r="H114" s="259"/>
      <c r="I114" s="261">
        <f>SUM(I90:I113)</f>
        <v>0</v>
      </c>
    </row>
    <row r="116" spans="2:11" ht="15" thickBot="1" x14ac:dyDescent="0.4"/>
    <row r="117" spans="2:11" ht="26.15" customHeight="1" thickBot="1" x14ac:dyDescent="0.4">
      <c r="B117" s="843" t="s">
        <v>692</v>
      </c>
      <c r="C117" s="844"/>
      <c r="D117" s="844"/>
      <c r="E117" s="844"/>
      <c r="F117" s="844"/>
      <c r="G117" s="844"/>
      <c r="H117" s="844"/>
      <c r="I117" s="844"/>
      <c r="J117" s="844"/>
      <c r="K117" s="845"/>
    </row>
    <row r="118" spans="2:11" ht="87.65" customHeight="1" x14ac:dyDescent="0.35">
      <c r="B118" s="473" t="s">
        <v>199</v>
      </c>
      <c r="C118" s="464" t="s">
        <v>200</v>
      </c>
      <c r="D118" s="464" t="s">
        <v>201</v>
      </c>
      <c r="E118" s="464" t="s">
        <v>693</v>
      </c>
      <c r="F118" s="464" t="s">
        <v>574</v>
      </c>
      <c r="G118" s="464" t="s">
        <v>579</v>
      </c>
      <c r="H118" s="464" t="s">
        <v>578</v>
      </c>
      <c r="I118" s="464" t="s">
        <v>202</v>
      </c>
      <c r="J118" s="464" t="s">
        <v>203</v>
      </c>
      <c r="K118" s="472" t="s">
        <v>569</v>
      </c>
    </row>
    <row r="119" spans="2:11" ht="35" x14ac:dyDescent="0.35">
      <c r="B119" s="482" t="s">
        <v>204</v>
      </c>
      <c r="C119" s="454" t="s">
        <v>668</v>
      </c>
      <c r="D119" s="454" t="s">
        <v>549</v>
      </c>
      <c r="E119" s="454" t="s">
        <v>551</v>
      </c>
      <c r="F119" s="454" t="s">
        <v>694</v>
      </c>
      <c r="G119" s="454" t="s">
        <v>43</v>
      </c>
      <c r="H119" s="454" t="s">
        <v>547</v>
      </c>
      <c r="I119" s="454" t="s">
        <v>695</v>
      </c>
      <c r="J119" s="454" t="s">
        <v>696</v>
      </c>
      <c r="K119" s="483" t="s">
        <v>697</v>
      </c>
    </row>
    <row r="120" spans="2:11" ht="18" customHeight="1" x14ac:dyDescent="0.35">
      <c r="B120" s="63">
        <f>B7</f>
        <v>0</v>
      </c>
      <c r="C120" s="64">
        <f>IFERROR(IF(B7="-", 0, SUMPRODUCT(D9:D68,F9:F68)/SUM(F9:F68)),0)</f>
        <v>0</v>
      </c>
      <c r="D120" s="65">
        <f>B20</f>
        <v>0</v>
      </c>
      <c r="E120" s="275">
        <f>B16</f>
        <v>0</v>
      </c>
      <c r="F120" s="458"/>
      <c r="G120" s="484"/>
      <c r="H120" s="275">
        <f>C120*D120*F120*(1-G120)*E120</f>
        <v>0</v>
      </c>
      <c r="I120" s="849">
        <f>SUM(F9:F68)</f>
        <v>0</v>
      </c>
      <c r="J120" s="849" t="str">
        <f>IFERROR(HLOOKUP(BiogasToBiomethane!F20,Background!C139:V145,7,FALSE),"")</f>
        <v/>
      </c>
      <c r="K120" s="851" t="str">
        <f>IFERROR(SUM(H120:H125)*I120*J120*density_CH4*g2MT/ft32m3,"")</f>
        <v/>
      </c>
    </row>
    <row r="121" spans="2:11" ht="18" customHeight="1" x14ac:dyDescent="0.35">
      <c r="B121" s="63">
        <f>P7</f>
        <v>0</v>
      </c>
      <c r="C121" s="64">
        <f>IFERROR(IF(P7="-", 0, SUMPRODUCT(R9:R68,T9:T68)/SUM(T9:T68)),0)</f>
        <v>0</v>
      </c>
      <c r="D121" s="65">
        <f>P20</f>
        <v>0</v>
      </c>
      <c r="E121" s="275">
        <f>P16</f>
        <v>0</v>
      </c>
      <c r="F121" s="458"/>
      <c r="G121" s="484"/>
      <c r="H121" s="275">
        <f t="shared" ref="H121:H125" si="91">C121*D121*F121*(1-G121)*E121</f>
        <v>0</v>
      </c>
      <c r="I121" s="849"/>
      <c r="J121" s="849"/>
      <c r="K121" s="851"/>
    </row>
    <row r="122" spans="2:11" ht="18" customHeight="1" x14ac:dyDescent="0.35">
      <c r="B122" s="63" t="str">
        <f>AD7</f>
        <v>-</v>
      </c>
      <c r="C122" s="64">
        <f>IFERROR(IF(AD7="-", 0, SUMPRODUCT(AF9:AF68,AH9:AH68)/SUM(AH9:AH68)),0)</f>
        <v>0</v>
      </c>
      <c r="D122" s="65">
        <f>AD20</f>
        <v>0</v>
      </c>
      <c r="E122" s="275">
        <f>AD16</f>
        <v>0</v>
      </c>
      <c r="F122" s="458"/>
      <c r="G122" s="484"/>
      <c r="H122" s="275">
        <f t="shared" si="91"/>
        <v>0</v>
      </c>
      <c r="I122" s="849"/>
      <c r="J122" s="849"/>
      <c r="K122" s="851"/>
    </row>
    <row r="123" spans="2:11" ht="18" customHeight="1" x14ac:dyDescent="0.35">
      <c r="B123" s="63" t="str">
        <f>AR7</f>
        <v>-</v>
      </c>
      <c r="C123" s="64">
        <f>IFERROR(IF(AR7="-", 0, SUMPRODUCT(AT9:AT68,AV9:AV68)/SUM(AV9:AV68)),0)</f>
        <v>0</v>
      </c>
      <c r="D123" s="65">
        <f>AR20</f>
        <v>0</v>
      </c>
      <c r="E123" s="275">
        <f>AR16</f>
        <v>0</v>
      </c>
      <c r="F123" s="458"/>
      <c r="G123" s="484"/>
      <c r="H123" s="275">
        <f t="shared" si="91"/>
        <v>0</v>
      </c>
      <c r="I123" s="849"/>
      <c r="J123" s="849"/>
      <c r="K123" s="851"/>
    </row>
    <row r="124" spans="2:11" ht="18" customHeight="1" x14ac:dyDescent="0.35">
      <c r="B124" s="63" t="str">
        <f>BF7</f>
        <v>-</v>
      </c>
      <c r="C124" s="64">
        <f>IFERROR(IF(BF7="-", 0, SUMPRODUCT(BH9:BH68,BJ9:BJ68)/SUM(BJ9:BJ68)),0)</f>
        <v>0</v>
      </c>
      <c r="D124" s="65">
        <f>BF20</f>
        <v>0</v>
      </c>
      <c r="E124" s="275">
        <f>BF16</f>
        <v>0</v>
      </c>
      <c r="F124" s="458"/>
      <c r="G124" s="484"/>
      <c r="H124" s="275">
        <f t="shared" si="91"/>
        <v>0</v>
      </c>
      <c r="I124" s="849"/>
      <c r="J124" s="849"/>
      <c r="K124" s="851"/>
    </row>
    <row r="125" spans="2:11" ht="18" customHeight="1" thickBot="1" x14ac:dyDescent="0.4">
      <c r="B125" s="66" t="str">
        <f>BT7</f>
        <v>-</v>
      </c>
      <c r="C125" s="67">
        <f>IFERROR(IF(BT7="-", 0, SUMPRODUCT(BV9:BV68,BX9:BX68)/SUM(BX9:BX68)),0)</f>
        <v>0</v>
      </c>
      <c r="D125" s="57">
        <f>BT20</f>
        <v>0</v>
      </c>
      <c r="E125" s="276">
        <f>BT16</f>
        <v>0</v>
      </c>
      <c r="F125" s="485"/>
      <c r="G125" s="486"/>
      <c r="H125" s="276">
        <f t="shared" si="91"/>
        <v>0</v>
      </c>
      <c r="I125" s="850"/>
      <c r="J125" s="850"/>
      <c r="K125" s="852"/>
    </row>
    <row r="127" spans="2:11" ht="15" thickBot="1" x14ac:dyDescent="0.4"/>
    <row r="128" spans="2:11" ht="29.15" customHeight="1" thickBot="1" x14ac:dyDescent="0.4">
      <c r="B128" s="843" t="s">
        <v>698</v>
      </c>
      <c r="C128" s="844"/>
      <c r="D128" s="844"/>
      <c r="E128" s="844"/>
      <c r="F128" s="844"/>
      <c r="G128" s="844"/>
      <c r="H128" s="844"/>
      <c r="I128" s="845"/>
    </row>
    <row r="129" spans="2:10" ht="48.5" x14ac:dyDescent="0.35">
      <c r="B129" s="47"/>
      <c r="C129" s="464" t="s">
        <v>699</v>
      </c>
      <c r="D129" s="846" t="s">
        <v>700</v>
      </c>
      <c r="E129" s="847"/>
      <c r="F129" s="847"/>
      <c r="G129" s="847"/>
      <c r="H129" s="847"/>
      <c r="I129" s="848"/>
      <c r="J129" s="48"/>
    </row>
    <row r="130" spans="2:10" ht="36" customHeight="1" x14ac:dyDescent="0.35">
      <c r="B130" s="452" t="s">
        <v>183</v>
      </c>
      <c r="C130" s="50"/>
      <c r="D130" s="51">
        <f>$B$7</f>
        <v>0</v>
      </c>
      <c r="E130" s="51">
        <f>$P$7</f>
        <v>0</v>
      </c>
      <c r="F130" s="51" t="str">
        <f>$AD$7</f>
        <v>-</v>
      </c>
      <c r="G130" s="51" t="str">
        <f>$AR$7</f>
        <v>-</v>
      </c>
      <c r="H130" s="51" t="str">
        <f>$BF$7</f>
        <v>-</v>
      </c>
      <c r="I130" s="52" t="str">
        <f>$BT$7</f>
        <v>-</v>
      </c>
      <c r="J130" s="48"/>
    </row>
    <row r="131" spans="2:10" ht="38.15" customHeight="1" x14ac:dyDescent="0.35">
      <c r="B131" s="452" t="s">
        <v>205</v>
      </c>
      <c r="C131" s="263"/>
      <c r="D131" s="263"/>
      <c r="E131" s="263"/>
      <c r="F131" s="263"/>
      <c r="G131" s="263"/>
      <c r="H131" s="263"/>
      <c r="I131" s="55"/>
      <c r="J131" s="48"/>
    </row>
    <row r="132" spans="2:10" ht="18" customHeight="1" x14ac:dyDescent="0.35">
      <c r="B132" s="465" t="s">
        <v>185</v>
      </c>
      <c r="C132" s="275">
        <f>IFERROR(IF(B132&gt;0, VLOOKUP(B132, Background!$C$139:$V$155, MATCH(BiogasToBiomethane!$F$20, Background!$C$139:$V$139), FALSE),0),0)</f>
        <v>0</v>
      </c>
      <c r="D132" s="458"/>
      <c r="E132" s="458"/>
      <c r="F132" s="458"/>
      <c r="G132" s="458"/>
      <c r="H132" s="458"/>
      <c r="I132" s="487"/>
      <c r="J132" s="48"/>
    </row>
    <row r="133" spans="2:10" ht="18" customHeight="1" x14ac:dyDescent="0.35">
      <c r="B133" s="465" t="s">
        <v>185</v>
      </c>
      <c r="C133" s="275">
        <f>IFERROR(IF(B133&gt;0, VLOOKUP(B133, Background!$C$139:$V$155, MATCH(BiogasToBiomethane!$F$20, Background!$C$139:$V$139), FALSE),0),0)</f>
        <v>0</v>
      </c>
      <c r="D133" s="458"/>
      <c r="E133" s="458"/>
      <c r="F133" s="458"/>
      <c r="G133" s="458"/>
      <c r="H133" s="458"/>
      <c r="I133" s="487"/>
      <c r="J133" s="48"/>
    </row>
    <row r="134" spans="2:10" ht="18" customHeight="1" x14ac:dyDescent="0.35">
      <c r="B134" s="465" t="s">
        <v>185</v>
      </c>
      <c r="C134" s="275">
        <f>IFERROR(IF(B134&gt;0, VLOOKUP(B134, Background!$C$139:$V$155, MATCH(BiogasToBiomethane!$F$20, Background!$C$139:$V$139), FALSE),0),0)</f>
        <v>0</v>
      </c>
      <c r="D134" s="458"/>
      <c r="E134" s="458"/>
      <c r="F134" s="458"/>
      <c r="G134" s="458"/>
      <c r="H134" s="458"/>
      <c r="I134" s="487"/>
      <c r="J134" s="48"/>
    </row>
    <row r="135" spans="2:10" ht="18" customHeight="1" x14ac:dyDescent="0.35">
      <c r="B135" s="465" t="s">
        <v>185</v>
      </c>
      <c r="C135" s="275">
        <f>IFERROR(IF(B135&gt;0, VLOOKUP(B135, Background!$C$139:$V$155, MATCH(BiogasToBiomethane!$F$20, Background!$C$139:$V$139), FALSE),0),0)</f>
        <v>0</v>
      </c>
      <c r="D135" s="458"/>
      <c r="E135" s="458"/>
      <c r="F135" s="458"/>
      <c r="G135" s="458"/>
      <c r="H135" s="458"/>
      <c r="I135" s="487"/>
      <c r="J135" s="48"/>
    </row>
    <row r="136" spans="2:10" ht="18" customHeight="1" x14ac:dyDescent="0.35">
      <c r="B136" s="465" t="s">
        <v>185</v>
      </c>
      <c r="C136" s="275">
        <f>IFERROR(IF(B136&gt;0, VLOOKUP(B136, Background!$C$139:$V$155, MATCH(BiogasToBiomethane!$F$20, Background!$C$139:$V$139), FALSE),0),0)</f>
        <v>0</v>
      </c>
      <c r="D136" s="458"/>
      <c r="E136" s="458"/>
      <c r="F136" s="458"/>
      <c r="G136" s="458"/>
      <c r="H136" s="458"/>
      <c r="I136" s="487"/>
      <c r="J136" s="48"/>
    </row>
    <row r="137" spans="2:10" ht="34" customHeight="1" x14ac:dyDescent="0.35">
      <c r="B137" s="452" t="s">
        <v>206</v>
      </c>
      <c r="C137" s="263"/>
      <c r="D137" s="263"/>
      <c r="E137" s="263"/>
      <c r="F137" s="263"/>
      <c r="G137" s="263"/>
      <c r="H137" s="263"/>
      <c r="I137" s="55"/>
      <c r="J137" s="48"/>
    </row>
    <row r="138" spans="2:10" ht="18" customHeight="1" x14ac:dyDescent="0.35">
      <c r="B138" s="465" t="s">
        <v>185</v>
      </c>
      <c r="C138" s="275">
        <f>IFERROR(IF(B138&gt;0, VLOOKUP(B138, Background!$C$139:$V$155, MATCH(BiogasToBiomethane!$F$20, Background!$C$139:$V$139), FALSE),0),0)</f>
        <v>0</v>
      </c>
      <c r="D138" s="466"/>
      <c r="E138" s="466"/>
      <c r="F138" s="466"/>
      <c r="G138" s="466"/>
      <c r="H138" s="466"/>
      <c r="I138" s="467"/>
      <c r="J138" s="48"/>
    </row>
    <row r="139" spans="2:10" ht="18" customHeight="1" x14ac:dyDescent="0.35">
      <c r="B139" s="465" t="s">
        <v>185</v>
      </c>
      <c r="C139" s="275">
        <f>IFERROR(IF(B139&gt;0, VLOOKUP(B139, Background!$C$139:$V$155, MATCH(BiogasToBiomethane!$F$20, Background!$C$139:$V$139), FALSE),0),0)</f>
        <v>0</v>
      </c>
      <c r="D139" s="466"/>
      <c r="E139" s="466"/>
      <c r="F139" s="466"/>
      <c r="G139" s="466"/>
      <c r="H139" s="466"/>
      <c r="I139" s="467"/>
      <c r="J139" s="48"/>
    </row>
    <row r="140" spans="2:10" ht="18" customHeight="1" x14ac:dyDescent="0.35">
      <c r="B140" s="465" t="s">
        <v>185</v>
      </c>
      <c r="C140" s="275">
        <f>IFERROR(IF(B140&gt;0, VLOOKUP(B140, Background!$C$139:$V$155, MATCH(BiogasToBiomethane!$F$20, Background!$C$139:$V$139), FALSE),0),0)</f>
        <v>0</v>
      </c>
      <c r="D140" s="466"/>
      <c r="E140" s="466"/>
      <c r="F140" s="466"/>
      <c r="G140" s="466"/>
      <c r="H140" s="466"/>
      <c r="I140" s="467"/>
      <c r="J140" s="48"/>
    </row>
    <row r="141" spans="2:10" ht="18" customHeight="1" x14ac:dyDescent="0.35">
      <c r="B141" s="465" t="s">
        <v>185</v>
      </c>
      <c r="C141" s="275">
        <f>IFERROR(IF(B141&gt;0, VLOOKUP(B141, Background!$C$139:$V$155, MATCH(BiogasToBiomethane!$F$20, Background!$C$139:$V$139), FALSE),0),0)</f>
        <v>0</v>
      </c>
      <c r="D141" s="466"/>
      <c r="E141" s="466"/>
      <c r="F141" s="466"/>
      <c r="G141" s="466"/>
      <c r="H141" s="466"/>
      <c r="I141" s="467"/>
      <c r="J141" s="48"/>
    </row>
    <row r="142" spans="2:10" ht="18" customHeight="1" x14ac:dyDescent="0.35">
      <c r="B142" s="465" t="s">
        <v>185</v>
      </c>
      <c r="C142" s="275">
        <f>IFERROR(IF(B142&gt;0, VLOOKUP(B142, Background!$C$139:$V$155, MATCH(BiogasToBiomethane!$F$20, Background!$C$139:$V$139), FALSE),0),0)</f>
        <v>0</v>
      </c>
      <c r="D142" s="466"/>
      <c r="E142" s="466"/>
      <c r="F142" s="466"/>
      <c r="G142" s="466"/>
      <c r="H142" s="466"/>
      <c r="I142" s="467"/>
      <c r="J142" s="48"/>
    </row>
    <row r="143" spans="2:10" ht="54.65" customHeight="1" x14ac:dyDescent="0.45">
      <c r="B143" s="452" t="s">
        <v>701</v>
      </c>
      <c r="C143" s="263"/>
      <c r="D143" s="65">
        <f>($D$120*$E$120*ManureToBiogas!$I$120*density_CH4*g2kg/ft32m3)*SUMPRODUCT($C$132:$C$142,D132:D142)</f>
        <v>0</v>
      </c>
      <c r="E143" s="65">
        <f>($D$121*$E$121*$I$120*density_CH4*g2kg/ft32m3)*SUMPRODUCT($C$132:$C$142,E132:E142)</f>
        <v>0</v>
      </c>
      <c r="F143" s="65">
        <f>($D$122*$E$122*$I$120*density_CH4*g2kg/ft32m3)*SUMPRODUCT($C$132:$C$142,F132:F142)</f>
        <v>0</v>
      </c>
      <c r="G143" s="65">
        <f>($D$123*$E$123*$I$120*density_CH4*g2kg/ft32m3)*SUMPRODUCT($C$132:$C$142,G132:G142)</f>
        <v>0</v>
      </c>
      <c r="H143" s="65">
        <f>($D$124*$E$124*$I$120*density_CH4*g2kg/ft32m3)*SUMPRODUCT($C$132:$C$142,H132:H142)</f>
        <v>0</v>
      </c>
      <c r="I143" s="277">
        <f>($D$125*$E$125*$I$120*density_CH4*g2kg/ft32m3)*SUMPRODUCT($C$132:$C$142,I132:I142)</f>
        <v>0</v>
      </c>
      <c r="J143" s="56" t="s">
        <v>207</v>
      </c>
    </row>
    <row r="144" spans="2:10" ht="55" customHeight="1" thickBot="1" x14ac:dyDescent="0.4">
      <c r="B144" s="488" t="s">
        <v>702</v>
      </c>
      <c r="C144" s="264"/>
      <c r="D144" s="57">
        <f>D143*$C$120*kg2MT</f>
        <v>0</v>
      </c>
      <c r="E144" s="57">
        <f>E143*$C$121*kg2MT</f>
        <v>0</v>
      </c>
      <c r="F144" s="57">
        <f>F143*$C$122*kg2MT</f>
        <v>0</v>
      </c>
      <c r="G144" s="57">
        <f>G143*$C$123*kg2MT</f>
        <v>0</v>
      </c>
      <c r="H144" s="57">
        <f>H143*$C$124*kg2MT</f>
        <v>0</v>
      </c>
      <c r="I144" s="278">
        <f>I143*$C$125*kg2MT</f>
        <v>0</v>
      </c>
      <c r="J144" s="60">
        <f>SUM(D144:I144)</f>
        <v>0</v>
      </c>
    </row>
  </sheetData>
  <mergeCells count="14">
    <mergeCell ref="B2:I2"/>
    <mergeCell ref="B128:I128"/>
    <mergeCell ref="D129:I129"/>
    <mergeCell ref="B72:I72"/>
    <mergeCell ref="D73:I73"/>
    <mergeCell ref="B117:K117"/>
    <mergeCell ref="I120:I125"/>
    <mergeCell ref="J120:J125"/>
    <mergeCell ref="K120:K125"/>
    <mergeCell ref="B86:I86"/>
    <mergeCell ref="B87:B88"/>
    <mergeCell ref="C87:F87"/>
    <mergeCell ref="G87:H87"/>
    <mergeCell ref="I87:I88"/>
  </mergeCells>
  <dataValidations count="6">
    <dataValidation type="list" allowBlank="1" showInputMessage="1" showErrorMessage="1" sqref="B9" xr:uid="{A6AD81A1-357A-476A-BFD8-893EA9F92BC7}">
      <formula1>"12, 24, 60, -"</formula1>
    </dataValidation>
    <dataValidation allowBlank="1" showInputMessage="1" showErrorMessage="1" prompt="Enter the solids carried over from the month prior to the first reporting month in Section L1. To be conservative, it can be entered as zero." sqref="CD9 BP9 BB9 AN9 Z9" xr:uid="{85F0CDDA-5C8E-45EB-83DC-A93EC51FA846}"/>
    <dataValidation allowBlank="1" showInputMessage="1" showErrorMessage="1" prompt="If this is the first year of the project, enter zero, otherwise enter the solids carried over from December of the previous year" sqref="L9" xr:uid="{5F5050C7-4666-4B18-A92F-5D3B19CD96AE}"/>
    <dataValidation type="list" allowBlank="1" showInputMessage="1" showErrorMessage="1" sqref="BO9:BO68 BA9:BA68 CC9:CC68 K9:K68 AM9:AM68 Y9:Y68" xr:uid="{12B3E30C-61E2-40EF-950E-D8EBD90D6F65}">
      <formula1>"Retention Time Less than 30 Days, System Emptied in This Month, Not Applicable"</formula1>
    </dataValidation>
    <dataValidation type="list" allowBlank="1" showDropDown="1" showInputMessage="1" showErrorMessage="1" sqref="AD9 AR9 BF9 BT9" xr:uid="{C16440B0-4840-46D4-B489-0501D7F81E45}">
      <formula1>#REF!</formula1>
    </dataValidation>
    <dataValidation type="list" showDropDown="1" showInputMessage="1" showErrorMessage="1" sqref="P9" xr:uid="{A0703C60-5CD5-4F34-A7A7-529E19541AF2}">
      <formula1>#REF!</formula1>
    </dataValidation>
  </dataValidations>
  <hyperlinks>
    <hyperlink ref="J2" r:id="rId1" display="link" xr:uid="{80008841-5795-4CE1-84DF-71D974D98B45}"/>
  </hyperlinks>
  <pageMargins left="0.7" right="0.7" top="0.75" bottom="0.75" header="0.3" footer="0.3"/>
  <pageSetup orientation="portrait" r:id="rId2"/>
  <drawing r:id="rId3"/>
  <legacyDrawing r:id="rId4"/>
  <extLst>
    <ext xmlns:x14="http://schemas.microsoft.com/office/spreadsheetml/2009/9/main" uri="{CCE6A557-97BC-4b89-ADB6-D9C93CAAB3DF}">
      <x14:dataValidations xmlns:xm="http://schemas.microsoft.com/office/excel/2006/main" count="2">
        <x14:dataValidation type="list" allowBlank="1" showInputMessage="1" showErrorMessage="1" xr:uid="{97B7FC7F-4D38-44F6-8DD7-4BE60A0265E5}">
          <x14:formula1>
            <xm:f>Background!$C$183:$C$198</xm:f>
          </x14:formula1>
          <xm:sqref>B76:B82 B132:B136 B138:B142</xm:sqref>
        </x14:dataValidation>
        <x14:dataValidation type="list" allowBlank="1" showInputMessage="1" showErrorMessage="1" xr:uid="{3EBAD3C4-38DC-4BDE-AAB1-4C486C8CDA6E}">
          <x14:formula1>
            <xm:f>Background!$C$64:$C$74</xm:f>
          </x14:formula1>
          <xm:sqref>BT7 P7 AR7 AD7 BF7 B7</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C1A7F-32D7-4174-8E73-2AE9D9E9190A}">
  <sheetPr codeName="Avoided_Emissions">
    <tabColor rgb="FF31A6B3"/>
  </sheetPr>
  <dimension ref="A1:I94"/>
  <sheetViews>
    <sheetView showGridLines="0" zoomScale="85" zoomScaleNormal="85" workbookViewId="0">
      <pane ySplit="1" topLeftCell="A2" activePane="bottomLeft" state="frozen"/>
      <selection pane="bottomLeft" activeCell="C74" sqref="C74"/>
    </sheetView>
  </sheetViews>
  <sheetFormatPr defaultRowHeight="14.5" x14ac:dyDescent="0.35"/>
  <cols>
    <col min="2" max="2" width="32.54296875" customWidth="1"/>
    <col min="3" max="3" width="23.54296875" customWidth="1"/>
    <col min="4" max="4" width="22.1796875" customWidth="1"/>
    <col min="5" max="5" width="19.54296875" customWidth="1"/>
    <col min="6" max="6" width="21.7265625" customWidth="1"/>
    <col min="7" max="7" width="22" customWidth="1"/>
    <col min="8" max="8" width="27.26953125" customWidth="1"/>
    <col min="9" max="9" width="18.453125" customWidth="1"/>
    <col min="10" max="10" width="49.26953125" customWidth="1"/>
    <col min="13" max="13" width="14" customWidth="1"/>
    <col min="15" max="15" width="10.453125" customWidth="1"/>
    <col min="16" max="16" width="12.81640625" customWidth="1"/>
    <col min="17" max="18" width="14.26953125" customWidth="1"/>
    <col min="19" max="19" width="12.26953125" customWidth="1"/>
    <col min="20" max="20" width="17.7265625" customWidth="1"/>
  </cols>
  <sheetData>
    <row r="1" spans="2:7" ht="30" customHeight="1" x14ac:dyDescent="1">
      <c r="B1" s="68"/>
      <c r="C1" s="69"/>
    </row>
    <row r="2" spans="2:7" ht="50.15" customHeight="1" thickBot="1" x14ac:dyDescent="0.5">
      <c r="B2" s="70"/>
    </row>
    <row r="3" spans="2:7" ht="24.75" customHeight="1" thickBot="1" x14ac:dyDescent="0.4">
      <c r="B3" s="870" t="s">
        <v>617</v>
      </c>
      <c r="C3" s="871"/>
      <c r="D3" s="871"/>
      <c r="E3" s="871"/>
      <c r="F3" s="871"/>
      <c r="G3" s="872"/>
    </row>
    <row r="4" spans="2:7" ht="36" customHeight="1" thickBot="1" x14ac:dyDescent="0.4">
      <c r="B4" s="489" t="s">
        <v>208</v>
      </c>
      <c r="C4" s="490" t="s">
        <v>209</v>
      </c>
      <c r="D4" s="71"/>
      <c r="E4" s="71"/>
      <c r="F4" s="71"/>
      <c r="G4" s="72"/>
    </row>
    <row r="5" spans="2:7" ht="21" customHeight="1" x14ac:dyDescent="0.35">
      <c r="B5" s="873" t="s">
        <v>519</v>
      </c>
      <c r="C5" s="875" t="s">
        <v>703</v>
      </c>
      <c r="D5" s="877" t="s">
        <v>210</v>
      </c>
      <c r="E5" s="878"/>
      <c r="F5" s="878"/>
      <c r="G5" s="879"/>
    </row>
    <row r="6" spans="2:7" ht="48.5" x14ac:dyDescent="0.35">
      <c r="B6" s="874"/>
      <c r="C6" s="876"/>
      <c r="D6" s="454" t="s">
        <v>704</v>
      </c>
      <c r="E6" s="454" t="s">
        <v>705</v>
      </c>
      <c r="F6" s="454" t="s">
        <v>706</v>
      </c>
      <c r="G6" s="483" t="s">
        <v>211</v>
      </c>
    </row>
    <row r="7" spans="2:7" ht="22.5" customHeight="1" x14ac:dyDescent="0.35">
      <c r="B7" s="452" t="s">
        <v>153</v>
      </c>
      <c r="C7" s="491" t="s">
        <v>214</v>
      </c>
      <c r="D7" s="491" t="s">
        <v>214</v>
      </c>
      <c r="E7" s="491" t="s">
        <v>214</v>
      </c>
      <c r="F7" s="491" t="s">
        <v>214</v>
      </c>
      <c r="G7" s="450" t="s">
        <v>214</v>
      </c>
    </row>
    <row r="8" spans="2:7" ht="15.5" x14ac:dyDescent="0.35">
      <c r="B8" s="36" t="str">
        <f>IF(ManureToBiogas!C9=0, " ", ManureToBiogas!C9)</f>
        <v xml:space="preserve"> </v>
      </c>
      <c r="C8" s="307">
        <f>ManureToBiogas!N9+ManureToBiogas!AB9+ManureToBiogas!AP9+ManureToBiogas!BD9+ManureToBiogas!BR9+ManureToBiogas!CF9</f>
        <v>0</v>
      </c>
      <c r="D8" s="307">
        <f>ManureToBiogas!I90</f>
        <v>0</v>
      </c>
      <c r="E8" s="880"/>
      <c r="F8" s="883"/>
      <c r="G8" s="292">
        <f>(BiogasToBiomethane!C28*BiogasToBiomethane!D28)*density_CH4*g2MT*
(1/(100% - IF(AvoidedEmissions!$C$4="Covered Lagoon", Background!$F$77, Background!$F$79))-1)</f>
        <v>0</v>
      </c>
    </row>
    <row r="9" spans="2:7" ht="15.5" x14ac:dyDescent="0.35">
      <c r="B9" s="36" t="str">
        <f>IF(ManureToBiogas!C10=0, " ", ManureToBiogas!C10)</f>
        <v xml:space="preserve"> </v>
      </c>
      <c r="C9" s="307">
        <f>ManureToBiogas!N10+ManureToBiogas!AB10+ManureToBiogas!AP10+ManureToBiogas!BD10+ManureToBiogas!BR10+ManureToBiogas!CF10</f>
        <v>0</v>
      </c>
      <c r="D9" s="307">
        <f>ManureToBiogas!I91</f>
        <v>0</v>
      </c>
      <c r="E9" s="881"/>
      <c r="F9" s="884"/>
      <c r="G9" s="292">
        <f>(BiogasToBiomethane!C29*BiogasToBiomethane!D29)*density_CH4*g2MT*
(1/(100% - IF(AvoidedEmissions!$C$4="Covered Lagoon", Background!$F$77, Background!$F$79))-1)</f>
        <v>0</v>
      </c>
    </row>
    <row r="10" spans="2:7" ht="15.5" x14ac:dyDescent="0.35">
      <c r="B10" s="36" t="str">
        <f>IF(ManureToBiogas!C11=0, " ", ManureToBiogas!C11)</f>
        <v xml:space="preserve"> </v>
      </c>
      <c r="C10" s="307">
        <f>ManureToBiogas!N11+ManureToBiogas!AB11+ManureToBiogas!AP11+ManureToBiogas!BD11+ManureToBiogas!BR11+ManureToBiogas!CF11</f>
        <v>0</v>
      </c>
      <c r="D10" s="307">
        <f>ManureToBiogas!I92</f>
        <v>0</v>
      </c>
      <c r="E10" s="881"/>
      <c r="F10" s="884"/>
      <c r="G10" s="292">
        <f>(BiogasToBiomethane!C30*BiogasToBiomethane!D30)*density_CH4*g2MT*
(1/(100% - IF(AvoidedEmissions!$C$4="Covered Lagoon", Background!$F$77, Background!$F$79))-1)</f>
        <v>0</v>
      </c>
    </row>
    <row r="11" spans="2:7" ht="15.5" x14ac:dyDescent="0.35">
      <c r="B11" s="36" t="str">
        <f>IF(ManureToBiogas!C12=0, " ", ManureToBiogas!C12)</f>
        <v xml:space="preserve"> </v>
      </c>
      <c r="C11" s="307">
        <f>ManureToBiogas!N12+ManureToBiogas!AB12+ManureToBiogas!AP12+ManureToBiogas!BD12+ManureToBiogas!BR12+ManureToBiogas!CF12</f>
        <v>0</v>
      </c>
      <c r="D11" s="307">
        <f>ManureToBiogas!I93</f>
        <v>0</v>
      </c>
      <c r="E11" s="881"/>
      <c r="F11" s="884"/>
      <c r="G11" s="292">
        <f>(BiogasToBiomethane!C31*BiogasToBiomethane!D31)*density_CH4*g2MT*
(1/(100% - IF(AvoidedEmissions!$C$4="Covered Lagoon", Background!$F$77, Background!$F$79))-1)</f>
        <v>0</v>
      </c>
    </row>
    <row r="12" spans="2:7" ht="15.5" x14ac:dyDescent="0.35">
      <c r="B12" s="36" t="str">
        <f>IF(ManureToBiogas!C13=0, " ", ManureToBiogas!C13)</f>
        <v xml:space="preserve"> </v>
      </c>
      <c r="C12" s="307">
        <f>ManureToBiogas!N13+ManureToBiogas!AB13+ManureToBiogas!AP13+ManureToBiogas!BD13+ManureToBiogas!BR13+ManureToBiogas!CF13</f>
        <v>0</v>
      </c>
      <c r="D12" s="307">
        <f>ManureToBiogas!I94</f>
        <v>0</v>
      </c>
      <c r="E12" s="881"/>
      <c r="F12" s="884"/>
      <c r="G12" s="292">
        <f>(BiogasToBiomethane!C32*BiogasToBiomethane!D32)*density_CH4*g2MT*
(1/(100% - IF(AvoidedEmissions!$C$4="Covered Lagoon", Background!$F$77, Background!$F$79))-1)</f>
        <v>0</v>
      </c>
    </row>
    <row r="13" spans="2:7" ht="15.5" x14ac:dyDescent="0.35">
      <c r="B13" s="36" t="str">
        <f>IF(ManureToBiogas!C14=0, " ", ManureToBiogas!C14)</f>
        <v xml:space="preserve"> </v>
      </c>
      <c r="C13" s="307">
        <f>ManureToBiogas!N14+ManureToBiogas!AB14+ManureToBiogas!AP14+ManureToBiogas!BD14+ManureToBiogas!BR14+ManureToBiogas!CF14</f>
        <v>0</v>
      </c>
      <c r="D13" s="307">
        <f>ManureToBiogas!I95</f>
        <v>0</v>
      </c>
      <c r="E13" s="881"/>
      <c r="F13" s="884"/>
      <c r="G13" s="292">
        <f>(BiogasToBiomethane!C33*BiogasToBiomethane!D33)*density_CH4*g2MT*
(1/(100% - IF(AvoidedEmissions!$C$4="Covered Lagoon", Background!$F$77, Background!$F$79))-1)</f>
        <v>0</v>
      </c>
    </row>
    <row r="14" spans="2:7" ht="15.5" x14ac:dyDescent="0.35">
      <c r="B14" s="36" t="str">
        <f>IF(ManureToBiogas!C15=0, " ", ManureToBiogas!C15)</f>
        <v xml:space="preserve"> </v>
      </c>
      <c r="C14" s="307">
        <f>ManureToBiogas!N15+ManureToBiogas!AB15+ManureToBiogas!AP15+ManureToBiogas!BD15+ManureToBiogas!BR15+ManureToBiogas!CF15</f>
        <v>0</v>
      </c>
      <c r="D14" s="307">
        <f>ManureToBiogas!I96</f>
        <v>0</v>
      </c>
      <c r="E14" s="881"/>
      <c r="F14" s="884"/>
      <c r="G14" s="292">
        <f>(BiogasToBiomethane!C34*BiogasToBiomethane!D34)*density_CH4*g2MT*
(1/(100% - IF(AvoidedEmissions!$C$4="Covered Lagoon", Background!$F$77, Background!$F$79))-1)</f>
        <v>0</v>
      </c>
    </row>
    <row r="15" spans="2:7" ht="15.5" x14ac:dyDescent="0.35">
      <c r="B15" s="36" t="str">
        <f>IF(ManureToBiogas!C16=0, " ", ManureToBiogas!C16)</f>
        <v xml:space="preserve"> </v>
      </c>
      <c r="C15" s="307">
        <f>ManureToBiogas!N16+ManureToBiogas!AB16+ManureToBiogas!AP16+ManureToBiogas!BD16+ManureToBiogas!BR16+ManureToBiogas!CF16</f>
        <v>0</v>
      </c>
      <c r="D15" s="307">
        <f>ManureToBiogas!I97</f>
        <v>0</v>
      </c>
      <c r="E15" s="881"/>
      <c r="F15" s="884"/>
      <c r="G15" s="292">
        <f>(BiogasToBiomethane!C35*BiogasToBiomethane!D35)*density_CH4*g2MT*
(1/(100% - IF(AvoidedEmissions!$C$4="Covered Lagoon", Background!$F$77, Background!$F$79))-1)</f>
        <v>0</v>
      </c>
    </row>
    <row r="16" spans="2:7" ht="15.5" x14ac:dyDescent="0.35">
      <c r="B16" s="36" t="str">
        <f>IF(ManureToBiogas!C17=0, " ", ManureToBiogas!C17)</f>
        <v xml:space="preserve"> </v>
      </c>
      <c r="C16" s="307">
        <f>ManureToBiogas!N17+ManureToBiogas!AB17+ManureToBiogas!AP17+ManureToBiogas!BD17+ManureToBiogas!BR17+ManureToBiogas!CF17</f>
        <v>0</v>
      </c>
      <c r="D16" s="307">
        <f>ManureToBiogas!I98</f>
        <v>0</v>
      </c>
      <c r="E16" s="881"/>
      <c r="F16" s="884"/>
      <c r="G16" s="292">
        <f>(BiogasToBiomethane!C36*BiogasToBiomethane!D36)*density_CH4*g2MT*
(1/(100% - IF(AvoidedEmissions!$C$4="Covered Lagoon", Background!$F$77, Background!$F$79))-1)</f>
        <v>0</v>
      </c>
    </row>
    <row r="17" spans="2:7" ht="15.5" x14ac:dyDescent="0.35">
      <c r="B17" s="36" t="str">
        <f>IF(ManureToBiogas!C18=0, " ", ManureToBiogas!C18)</f>
        <v xml:space="preserve"> </v>
      </c>
      <c r="C17" s="307">
        <f>ManureToBiogas!N18+ManureToBiogas!AB18+ManureToBiogas!AP18+ManureToBiogas!BD18+ManureToBiogas!BR18+ManureToBiogas!CF18</f>
        <v>0</v>
      </c>
      <c r="D17" s="307">
        <f>ManureToBiogas!I99</f>
        <v>0</v>
      </c>
      <c r="E17" s="881"/>
      <c r="F17" s="884"/>
      <c r="G17" s="292">
        <f>(BiogasToBiomethane!C37*BiogasToBiomethane!D37)*density_CH4*g2MT*
(1/(100% - IF(AvoidedEmissions!$C$4="Covered Lagoon", Background!$F$77, Background!$F$79))-1)</f>
        <v>0</v>
      </c>
    </row>
    <row r="18" spans="2:7" ht="15.5" x14ac:dyDescent="0.35">
      <c r="B18" s="36" t="str">
        <f>IF(ManureToBiogas!C19=0, " ", ManureToBiogas!C19)</f>
        <v xml:space="preserve"> </v>
      </c>
      <c r="C18" s="307">
        <f>ManureToBiogas!N19+ManureToBiogas!AB19+ManureToBiogas!AP19+ManureToBiogas!BD19+ManureToBiogas!BR19+ManureToBiogas!CF19</f>
        <v>0</v>
      </c>
      <c r="D18" s="307">
        <f>ManureToBiogas!I100</f>
        <v>0</v>
      </c>
      <c r="E18" s="881"/>
      <c r="F18" s="884"/>
      <c r="G18" s="292">
        <f>(BiogasToBiomethane!C38*BiogasToBiomethane!D38)*density_CH4*g2MT*
(1/(100% - IF(AvoidedEmissions!$C$4="Covered Lagoon", Background!$F$77, Background!$F$79))-1)</f>
        <v>0</v>
      </c>
    </row>
    <row r="19" spans="2:7" ht="15.5" x14ac:dyDescent="0.35">
      <c r="B19" s="36" t="str">
        <f>IF(ManureToBiogas!C20=0, " ", ManureToBiogas!C20)</f>
        <v xml:space="preserve"> </v>
      </c>
      <c r="C19" s="307">
        <f>ManureToBiogas!N20+ManureToBiogas!AB20+ManureToBiogas!AP20+ManureToBiogas!BD20+ManureToBiogas!BR20+ManureToBiogas!CF20</f>
        <v>0</v>
      </c>
      <c r="D19" s="307">
        <f>ManureToBiogas!I101</f>
        <v>0</v>
      </c>
      <c r="E19" s="881"/>
      <c r="F19" s="884"/>
      <c r="G19" s="292">
        <f>(BiogasToBiomethane!C39*BiogasToBiomethane!D39)*density_CH4*g2MT*
(1/(100% - IF(AvoidedEmissions!$C$4="Covered Lagoon", Background!$F$77, Background!$F$79))-1)</f>
        <v>0</v>
      </c>
    </row>
    <row r="20" spans="2:7" ht="15.5" x14ac:dyDescent="0.35">
      <c r="B20" s="36" t="str">
        <f>IF(ManureToBiogas!C21=0, " ", ManureToBiogas!C21)</f>
        <v xml:space="preserve"> </v>
      </c>
      <c r="C20" s="307">
        <f>ManureToBiogas!N21+ManureToBiogas!AB21+ManureToBiogas!AP21+ManureToBiogas!BD21+ManureToBiogas!BR21+ManureToBiogas!CF21</f>
        <v>0</v>
      </c>
      <c r="D20" s="307">
        <f>ManureToBiogas!I102</f>
        <v>0</v>
      </c>
      <c r="E20" s="881"/>
      <c r="F20" s="884"/>
      <c r="G20" s="292">
        <f>(BiogasToBiomethane!C40*BiogasToBiomethane!D40)*density_CH4*g2MT*
(1/(100% - IF(AvoidedEmissions!$C$4="Covered Lagoon", Background!$F$77, Background!$F$79))-1)</f>
        <v>0</v>
      </c>
    </row>
    <row r="21" spans="2:7" ht="15.5" x14ac:dyDescent="0.35">
      <c r="B21" s="36" t="str">
        <f>IF(ManureToBiogas!C22=0, " ", ManureToBiogas!C22)</f>
        <v xml:space="preserve"> </v>
      </c>
      <c r="C21" s="307">
        <f>ManureToBiogas!N22+ManureToBiogas!AB22+ManureToBiogas!AP22+ManureToBiogas!BD22+ManureToBiogas!BR22+ManureToBiogas!CF22</f>
        <v>0</v>
      </c>
      <c r="D21" s="307">
        <f>ManureToBiogas!I103</f>
        <v>0</v>
      </c>
      <c r="E21" s="881"/>
      <c r="F21" s="884"/>
      <c r="G21" s="292">
        <f>(BiogasToBiomethane!C41*BiogasToBiomethane!D41)*density_CH4*g2MT*
(1/(100% - IF(AvoidedEmissions!$C$4="Covered Lagoon", Background!$F$77, Background!$F$79))-1)</f>
        <v>0</v>
      </c>
    </row>
    <row r="22" spans="2:7" ht="15.5" x14ac:dyDescent="0.35">
      <c r="B22" s="36" t="str">
        <f>IF(ManureToBiogas!C23=0, " ", ManureToBiogas!C23)</f>
        <v xml:space="preserve"> </v>
      </c>
      <c r="C22" s="307">
        <f>ManureToBiogas!N23+ManureToBiogas!AB23+ManureToBiogas!AP23+ManureToBiogas!BD23+ManureToBiogas!BR23+ManureToBiogas!CF23</f>
        <v>0</v>
      </c>
      <c r="D22" s="307">
        <f>ManureToBiogas!I104</f>
        <v>0</v>
      </c>
      <c r="E22" s="881"/>
      <c r="F22" s="884"/>
      <c r="G22" s="292">
        <f>(BiogasToBiomethane!C42*BiogasToBiomethane!D42)*density_CH4*g2MT*
(1/(100% - IF(AvoidedEmissions!$C$4="Covered Lagoon", Background!$F$77, Background!$F$79))-1)</f>
        <v>0</v>
      </c>
    </row>
    <row r="23" spans="2:7" ht="15.5" x14ac:dyDescent="0.35">
      <c r="B23" s="36" t="str">
        <f>IF(ManureToBiogas!C24=0, " ", ManureToBiogas!C24)</f>
        <v xml:space="preserve"> </v>
      </c>
      <c r="C23" s="307">
        <f>ManureToBiogas!N24+ManureToBiogas!AB24+ManureToBiogas!AP24+ManureToBiogas!BD24+ManureToBiogas!BR24+ManureToBiogas!CF24</f>
        <v>0</v>
      </c>
      <c r="D23" s="307">
        <f>ManureToBiogas!I105</f>
        <v>0</v>
      </c>
      <c r="E23" s="881"/>
      <c r="F23" s="884"/>
      <c r="G23" s="292">
        <f>(BiogasToBiomethane!C43*BiogasToBiomethane!D43)*density_CH4*g2MT*
(1/(100% - IF(AvoidedEmissions!$C$4="Covered Lagoon", Background!$F$77, Background!$F$79))-1)</f>
        <v>0</v>
      </c>
    </row>
    <row r="24" spans="2:7" ht="15.5" x14ac:dyDescent="0.35">
      <c r="B24" s="36" t="str">
        <f>IF(ManureToBiogas!C25=0, " ", ManureToBiogas!C25)</f>
        <v xml:space="preserve"> </v>
      </c>
      <c r="C24" s="307">
        <f>ManureToBiogas!N25+ManureToBiogas!AB25+ManureToBiogas!AP25+ManureToBiogas!BD25+ManureToBiogas!BR25+ManureToBiogas!CF25</f>
        <v>0</v>
      </c>
      <c r="D24" s="307">
        <f>ManureToBiogas!I106</f>
        <v>0</v>
      </c>
      <c r="E24" s="881"/>
      <c r="F24" s="884"/>
      <c r="G24" s="292">
        <f>(BiogasToBiomethane!C44*BiogasToBiomethane!D44)*density_CH4*g2MT*
(1/(100% - IF(AvoidedEmissions!$C$4="Covered Lagoon", Background!$F$77, Background!$F$79))-1)</f>
        <v>0</v>
      </c>
    </row>
    <row r="25" spans="2:7" ht="15.5" x14ac:dyDescent="0.35">
      <c r="B25" s="36" t="str">
        <f>IF(ManureToBiogas!C26=0, " ", ManureToBiogas!C26)</f>
        <v xml:space="preserve"> </v>
      </c>
      <c r="C25" s="307">
        <f>ManureToBiogas!N26+ManureToBiogas!AB26+ManureToBiogas!AP26+ManureToBiogas!BD26+ManureToBiogas!BR26+ManureToBiogas!CF26</f>
        <v>0</v>
      </c>
      <c r="D25" s="307">
        <f>ManureToBiogas!I107</f>
        <v>0</v>
      </c>
      <c r="E25" s="881"/>
      <c r="F25" s="884"/>
      <c r="G25" s="292">
        <f>(BiogasToBiomethane!C45*BiogasToBiomethane!D45)*density_CH4*g2MT*
(1/(100% - IF(AvoidedEmissions!$C$4="Covered Lagoon", Background!$F$77, Background!$F$79))-1)</f>
        <v>0</v>
      </c>
    </row>
    <row r="26" spans="2:7" ht="15.5" x14ac:dyDescent="0.35">
      <c r="B26" s="36" t="str">
        <f>IF(ManureToBiogas!C27=0, " ", ManureToBiogas!C27)</f>
        <v xml:space="preserve"> </v>
      </c>
      <c r="C26" s="307">
        <f>ManureToBiogas!N27+ManureToBiogas!AB27+ManureToBiogas!AP27+ManureToBiogas!BD27+ManureToBiogas!BR27+ManureToBiogas!CF27</f>
        <v>0</v>
      </c>
      <c r="D26" s="307">
        <f>ManureToBiogas!I108</f>
        <v>0</v>
      </c>
      <c r="E26" s="881"/>
      <c r="F26" s="884"/>
      <c r="G26" s="292">
        <f>(BiogasToBiomethane!C46*BiogasToBiomethane!D46)*density_CH4*g2MT*
(1/(100% - IF(AvoidedEmissions!$C$4="Covered Lagoon", Background!$F$77, Background!$F$79))-1)</f>
        <v>0</v>
      </c>
    </row>
    <row r="27" spans="2:7" ht="15.5" x14ac:dyDescent="0.35">
      <c r="B27" s="36" t="str">
        <f>IF(ManureToBiogas!C28=0, " ", ManureToBiogas!C28)</f>
        <v xml:space="preserve"> </v>
      </c>
      <c r="C27" s="307">
        <f>ManureToBiogas!N28+ManureToBiogas!AB28+ManureToBiogas!AP28+ManureToBiogas!BD28+ManureToBiogas!BR28+ManureToBiogas!CF28</f>
        <v>0</v>
      </c>
      <c r="D27" s="307">
        <f>ManureToBiogas!I109</f>
        <v>0</v>
      </c>
      <c r="E27" s="881"/>
      <c r="F27" s="884"/>
      <c r="G27" s="292">
        <f>(BiogasToBiomethane!C47*BiogasToBiomethane!D47)*density_CH4*g2MT*
(1/(100% - IF(AvoidedEmissions!$C$4="Covered Lagoon", Background!$F$77, Background!$F$79))-1)</f>
        <v>0</v>
      </c>
    </row>
    <row r="28" spans="2:7" ht="15.5" x14ac:dyDescent="0.35">
      <c r="B28" s="36" t="str">
        <f>IF(ManureToBiogas!C29=0, " ", ManureToBiogas!C29)</f>
        <v xml:space="preserve"> </v>
      </c>
      <c r="C28" s="307">
        <f>ManureToBiogas!N29+ManureToBiogas!AB29+ManureToBiogas!AP29+ManureToBiogas!BD29+ManureToBiogas!BR29+ManureToBiogas!CF29</f>
        <v>0</v>
      </c>
      <c r="D28" s="307">
        <f>ManureToBiogas!I110</f>
        <v>0</v>
      </c>
      <c r="E28" s="881"/>
      <c r="F28" s="884"/>
      <c r="G28" s="292">
        <f>(BiogasToBiomethane!C48*BiogasToBiomethane!D48)*density_CH4*g2MT*
(1/(100% - IF(AvoidedEmissions!$C$4="Covered Lagoon", Background!$F$77, Background!$F$79))-1)</f>
        <v>0</v>
      </c>
    </row>
    <row r="29" spans="2:7" ht="15.5" x14ac:dyDescent="0.35">
      <c r="B29" s="36" t="str">
        <f>IF(ManureToBiogas!C30=0, " ", ManureToBiogas!C30)</f>
        <v xml:space="preserve"> </v>
      </c>
      <c r="C29" s="307">
        <f>ManureToBiogas!N30+ManureToBiogas!AB30+ManureToBiogas!AP30+ManureToBiogas!BD30+ManureToBiogas!BR30+ManureToBiogas!CF30</f>
        <v>0</v>
      </c>
      <c r="D29" s="307">
        <f>ManureToBiogas!I111</f>
        <v>0</v>
      </c>
      <c r="E29" s="881"/>
      <c r="F29" s="884"/>
      <c r="G29" s="292">
        <f>(BiogasToBiomethane!C49*BiogasToBiomethane!D49)*density_CH4*g2MT*
(1/(100% - IF(AvoidedEmissions!$C$4="Covered Lagoon", Background!$F$77, Background!$F$79))-1)</f>
        <v>0</v>
      </c>
    </row>
    <row r="30" spans="2:7" ht="15.5" x14ac:dyDescent="0.35">
      <c r="B30" s="36" t="str">
        <f>IF(ManureToBiogas!C31=0, " ", ManureToBiogas!C31)</f>
        <v xml:space="preserve"> </v>
      </c>
      <c r="C30" s="307">
        <f>ManureToBiogas!N31+ManureToBiogas!AB31+ManureToBiogas!AP31+ManureToBiogas!BD31+ManureToBiogas!BR31+ManureToBiogas!CF31</f>
        <v>0</v>
      </c>
      <c r="D30" s="307">
        <f>ManureToBiogas!I112</f>
        <v>0</v>
      </c>
      <c r="E30" s="881"/>
      <c r="F30" s="884"/>
      <c r="G30" s="292">
        <f>(BiogasToBiomethane!C50*BiogasToBiomethane!D50)*density_CH4*g2MT*
(1/(100% - IF(AvoidedEmissions!$C$4="Covered Lagoon", Background!$F$77, Background!$F$79))-1)</f>
        <v>0</v>
      </c>
    </row>
    <row r="31" spans="2:7" ht="15.5" x14ac:dyDescent="0.35">
      <c r="B31" s="36" t="str">
        <f>IF(ManureToBiogas!C32=0, " ", ManureToBiogas!C32)</f>
        <v xml:space="preserve"> </v>
      </c>
      <c r="C31" s="307">
        <f>ManureToBiogas!N32+ManureToBiogas!AB32+ManureToBiogas!AP32+ManureToBiogas!BD32+ManureToBiogas!BR32+ManureToBiogas!CF32</f>
        <v>0</v>
      </c>
      <c r="D31" s="307">
        <f>ManureToBiogas!I113</f>
        <v>0</v>
      </c>
      <c r="E31" s="881"/>
      <c r="F31" s="884"/>
      <c r="G31" s="292">
        <f>(BiogasToBiomethane!C51*BiogasToBiomethane!D51)*density_CH4*g2MT*
(1/(100% - IF(AvoidedEmissions!$C$4="Covered Lagoon", Background!$F$77, Background!$F$79))-1)</f>
        <v>0</v>
      </c>
    </row>
    <row r="32" spans="2:7" ht="15.5" hidden="1" x14ac:dyDescent="0.35">
      <c r="B32" s="36" t="str">
        <f>IF(ManureToBiogas!C33=0, " ", ManureToBiogas!C33)</f>
        <v xml:space="preserve"> </v>
      </c>
      <c r="C32" s="307">
        <f>ManureToBiogas!N33+ManureToBiogas!AB33+ManureToBiogas!AP33+ManureToBiogas!BD33+ManureToBiogas!BR33+ManureToBiogas!CF33</f>
        <v>0</v>
      </c>
      <c r="D32" s="889"/>
      <c r="E32" s="881"/>
      <c r="F32" s="884"/>
      <c r="G32" s="886"/>
    </row>
    <row r="33" spans="2:7" ht="15.5" hidden="1" x14ac:dyDescent="0.35">
      <c r="B33" s="36" t="str">
        <f>IF(ManureToBiogas!C34=0, " ", ManureToBiogas!C34)</f>
        <v xml:space="preserve"> </v>
      </c>
      <c r="C33" s="307">
        <f>ManureToBiogas!N34+ManureToBiogas!AB34+ManureToBiogas!AP34+ManureToBiogas!BD34+ManureToBiogas!BR34+ManureToBiogas!CF34</f>
        <v>0</v>
      </c>
      <c r="D33" s="890"/>
      <c r="E33" s="881"/>
      <c r="F33" s="884"/>
      <c r="G33" s="887"/>
    </row>
    <row r="34" spans="2:7" ht="15.5" hidden="1" x14ac:dyDescent="0.35">
      <c r="B34" s="36" t="str">
        <f>IF(ManureToBiogas!C35=0, " ", ManureToBiogas!C35)</f>
        <v xml:space="preserve"> </v>
      </c>
      <c r="C34" s="307">
        <f>ManureToBiogas!N35+ManureToBiogas!AB35+ManureToBiogas!AP35+ManureToBiogas!BD35+ManureToBiogas!BR35+ManureToBiogas!CF35</f>
        <v>0</v>
      </c>
      <c r="D34" s="890"/>
      <c r="E34" s="881"/>
      <c r="F34" s="884"/>
      <c r="G34" s="887"/>
    </row>
    <row r="35" spans="2:7" ht="15.5" hidden="1" x14ac:dyDescent="0.35">
      <c r="B35" s="36" t="str">
        <f>IF(ManureToBiogas!C36=0, " ", ManureToBiogas!C36)</f>
        <v xml:space="preserve"> </v>
      </c>
      <c r="C35" s="307">
        <f>ManureToBiogas!N36+ManureToBiogas!AB36+ManureToBiogas!AP36+ManureToBiogas!BD36+ManureToBiogas!BR36+ManureToBiogas!CF36</f>
        <v>0</v>
      </c>
      <c r="D35" s="890"/>
      <c r="E35" s="881"/>
      <c r="F35" s="884"/>
      <c r="G35" s="887"/>
    </row>
    <row r="36" spans="2:7" ht="15.5" hidden="1" x14ac:dyDescent="0.35">
      <c r="B36" s="36" t="str">
        <f>IF(ManureToBiogas!C37=0, " ", ManureToBiogas!C37)</f>
        <v xml:space="preserve"> </v>
      </c>
      <c r="C36" s="307">
        <f>ManureToBiogas!N37+ManureToBiogas!AB37+ManureToBiogas!AP37+ManureToBiogas!BD37+ManureToBiogas!BR37+ManureToBiogas!CF37</f>
        <v>0</v>
      </c>
      <c r="D36" s="890"/>
      <c r="E36" s="881"/>
      <c r="F36" s="884"/>
      <c r="G36" s="887"/>
    </row>
    <row r="37" spans="2:7" ht="15.5" hidden="1" x14ac:dyDescent="0.35">
      <c r="B37" s="36" t="str">
        <f>IF(ManureToBiogas!C38=0, " ", ManureToBiogas!C38)</f>
        <v xml:space="preserve"> </v>
      </c>
      <c r="C37" s="307">
        <f>ManureToBiogas!N38+ManureToBiogas!AB38+ManureToBiogas!AP38+ManureToBiogas!BD38+ManureToBiogas!BR38+ManureToBiogas!CF38</f>
        <v>0</v>
      </c>
      <c r="D37" s="890"/>
      <c r="E37" s="881"/>
      <c r="F37" s="884"/>
      <c r="G37" s="887"/>
    </row>
    <row r="38" spans="2:7" ht="15.5" hidden="1" x14ac:dyDescent="0.35">
      <c r="B38" s="36" t="str">
        <f>IF(ManureToBiogas!C39=0, " ", ManureToBiogas!C39)</f>
        <v xml:space="preserve"> </v>
      </c>
      <c r="C38" s="307">
        <f>ManureToBiogas!N39+ManureToBiogas!AB39+ManureToBiogas!AP39+ManureToBiogas!BD39+ManureToBiogas!BR39+ManureToBiogas!CF39</f>
        <v>0</v>
      </c>
      <c r="D38" s="890"/>
      <c r="E38" s="881"/>
      <c r="F38" s="884"/>
      <c r="G38" s="887"/>
    </row>
    <row r="39" spans="2:7" ht="15.5" hidden="1" x14ac:dyDescent="0.35">
      <c r="B39" s="36" t="str">
        <f>IF(ManureToBiogas!C40=0, " ", ManureToBiogas!C40)</f>
        <v xml:space="preserve"> </v>
      </c>
      <c r="C39" s="307">
        <f>ManureToBiogas!N40+ManureToBiogas!AB40+ManureToBiogas!AP40+ManureToBiogas!BD40+ManureToBiogas!BR40+ManureToBiogas!CF40</f>
        <v>0</v>
      </c>
      <c r="D39" s="890"/>
      <c r="E39" s="881"/>
      <c r="F39" s="884"/>
      <c r="G39" s="887"/>
    </row>
    <row r="40" spans="2:7" ht="15.5" hidden="1" x14ac:dyDescent="0.35">
      <c r="B40" s="36" t="str">
        <f>IF(ManureToBiogas!C41=0, " ", ManureToBiogas!C41)</f>
        <v xml:space="preserve"> </v>
      </c>
      <c r="C40" s="307">
        <f>ManureToBiogas!N41+ManureToBiogas!AB41+ManureToBiogas!AP41+ManureToBiogas!BD41+ManureToBiogas!BR41+ManureToBiogas!CF41</f>
        <v>0</v>
      </c>
      <c r="D40" s="890"/>
      <c r="E40" s="881"/>
      <c r="F40" s="884"/>
      <c r="G40" s="887"/>
    </row>
    <row r="41" spans="2:7" ht="15.5" hidden="1" x14ac:dyDescent="0.35">
      <c r="B41" s="36" t="str">
        <f>IF(ManureToBiogas!C42=0, " ", ManureToBiogas!C42)</f>
        <v xml:space="preserve"> </v>
      </c>
      <c r="C41" s="307">
        <f>ManureToBiogas!N42+ManureToBiogas!AB42+ManureToBiogas!AP42+ManureToBiogas!BD42+ManureToBiogas!BR42+ManureToBiogas!CF42</f>
        <v>0</v>
      </c>
      <c r="D41" s="890"/>
      <c r="E41" s="881"/>
      <c r="F41" s="884"/>
      <c r="G41" s="887"/>
    </row>
    <row r="42" spans="2:7" ht="15.5" hidden="1" x14ac:dyDescent="0.35">
      <c r="B42" s="36" t="str">
        <f>IF(ManureToBiogas!C43=0, " ", ManureToBiogas!C43)</f>
        <v xml:space="preserve"> </v>
      </c>
      <c r="C42" s="307">
        <f>ManureToBiogas!N43+ManureToBiogas!AB43+ManureToBiogas!AP43+ManureToBiogas!BD43+ManureToBiogas!BR43+ManureToBiogas!CF43</f>
        <v>0</v>
      </c>
      <c r="D42" s="890"/>
      <c r="E42" s="881"/>
      <c r="F42" s="884"/>
      <c r="G42" s="887"/>
    </row>
    <row r="43" spans="2:7" ht="15.5" hidden="1" x14ac:dyDescent="0.35">
      <c r="B43" s="36" t="str">
        <f>IF(ManureToBiogas!C44=0, " ", ManureToBiogas!C44)</f>
        <v xml:space="preserve"> </v>
      </c>
      <c r="C43" s="307">
        <f>ManureToBiogas!N44+ManureToBiogas!AB44+ManureToBiogas!AP44+ManureToBiogas!BD44+ManureToBiogas!BR44+ManureToBiogas!CF44</f>
        <v>0</v>
      </c>
      <c r="D43" s="890"/>
      <c r="E43" s="881"/>
      <c r="F43" s="884"/>
      <c r="G43" s="887"/>
    </row>
    <row r="44" spans="2:7" ht="15.5" hidden="1" x14ac:dyDescent="0.35">
      <c r="B44" s="36" t="str">
        <f>IF(ManureToBiogas!C45=0, " ", ManureToBiogas!C45)</f>
        <v xml:space="preserve"> </v>
      </c>
      <c r="C44" s="307">
        <f>ManureToBiogas!N45+ManureToBiogas!AB45+ManureToBiogas!AP45+ManureToBiogas!BD45+ManureToBiogas!BR45+ManureToBiogas!CF45</f>
        <v>0</v>
      </c>
      <c r="D44" s="890"/>
      <c r="E44" s="881"/>
      <c r="F44" s="884"/>
      <c r="G44" s="887"/>
    </row>
    <row r="45" spans="2:7" ht="15.5" hidden="1" x14ac:dyDescent="0.35">
      <c r="B45" s="36" t="str">
        <f>IF(ManureToBiogas!C46=0, " ", ManureToBiogas!C46)</f>
        <v xml:space="preserve"> </v>
      </c>
      <c r="C45" s="307">
        <f>ManureToBiogas!N46+ManureToBiogas!AB46+ManureToBiogas!AP46+ManureToBiogas!BD46+ManureToBiogas!BR46+ManureToBiogas!CF46</f>
        <v>0</v>
      </c>
      <c r="D45" s="890"/>
      <c r="E45" s="881"/>
      <c r="F45" s="884"/>
      <c r="G45" s="887"/>
    </row>
    <row r="46" spans="2:7" ht="15.5" hidden="1" x14ac:dyDescent="0.35">
      <c r="B46" s="36" t="str">
        <f>IF(ManureToBiogas!C47=0, " ", ManureToBiogas!C47)</f>
        <v xml:space="preserve"> </v>
      </c>
      <c r="C46" s="307">
        <f>ManureToBiogas!N47+ManureToBiogas!AB47+ManureToBiogas!AP47+ManureToBiogas!BD47+ManureToBiogas!BR47+ManureToBiogas!CF47</f>
        <v>0</v>
      </c>
      <c r="D46" s="890"/>
      <c r="E46" s="881"/>
      <c r="F46" s="884"/>
      <c r="G46" s="887"/>
    </row>
    <row r="47" spans="2:7" ht="15.5" hidden="1" x14ac:dyDescent="0.35">
      <c r="B47" s="36" t="str">
        <f>IF(ManureToBiogas!C48=0, " ", ManureToBiogas!C48)</f>
        <v xml:space="preserve"> </v>
      </c>
      <c r="C47" s="307">
        <f>ManureToBiogas!N48+ManureToBiogas!AB48+ManureToBiogas!AP48+ManureToBiogas!BD48+ManureToBiogas!BR48+ManureToBiogas!CF48</f>
        <v>0</v>
      </c>
      <c r="D47" s="890"/>
      <c r="E47" s="881"/>
      <c r="F47" s="884"/>
      <c r="G47" s="887"/>
    </row>
    <row r="48" spans="2:7" ht="15.5" hidden="1" x14ac:dyDescent="0.35">
      <c r="B48" s="36" t="str">
        <f>IF(ManureToBiogas!C49=0, " ", ManureToBiogas!C49)</f>
        <v xml:space="preserve"> </v>
      </c>
      <c r="C48" s="307">
        <f>ManureToBiogas!N49+ManureToBiogas!AB49+ManureToBiogas!AP49+ManureToBiogas!BD49+ManureToBiogas!BR49+ManureToBiogas!CF49</f>
        <v>0</v>
      </c>
      <c r="D48" s="890"/>
      <c r="E48" s="881"/>
      <c r="F48" s="884"/>
      <c r="G48" s="887"/>
    </row>
    <row r="49" spans="2:7" ht="15.5" hidden="1" x14ac:dyDescent="0.35">
      <c r="B49" s="36" t="str">
        <f>IF(ManureToBiogas!C50=0, " ", ManureToBiogas!C50)</f>
        <v xml:space="preserve"> </v>
      </c>
      <c r="C49" s="307">
        <f>ManureToBiogas!N50+ManureToBiogas!AB50+ManureToBiogas!AP50+ManureToBiogas!BD50+ManureToBiogas!BR50+ManureToBiogas!CF50</f>
        <v>0</v>
      </c>
      <c r="D49" s="890"/>
      <c r="E49" s="881"/>
      <c r="F49" s="884"/>
      <c r="G49" s="887"/>
    </row>
    <row r="50" spans="2:7" ht="15.5" hidden="1" x14ac:dyDescent="0.35">
      <c r="B50" s="36" t="str">
        <f>IF(ManureToBiogas!C51=0, " ", ManureToBiogas!C51)</f>
        <v xml:space="preserve"> </v>
      </c>
      <c r="C50" s="307">
        <f>ManureToBiogas!N51+ManureToBiogas!AB51+ManureToBiogas!AP51+ManureToBiogas!BD51+ManureToBiogas!BR51+ManureToBiogas!CF51</f>
        <v>0</v>
      </c>
      <c r="D50" s="890"/>
      <c r="E50" s="881"/>
      <c r="F50" s="884"/>
      <c r="G50" s="887"/>
    </row>
    <row r="51" spans="2:7" ht="15.5" hidden="1" x14ac:dyDescent="0.35">
      <c r="B51" s="36" t="str">
        <f>IF(ManureToBiogas!C52=0, " ", ManureToBiogas!C52)</f>
        <v xml:space="preserve"> </v>
      </c>
      <c r="C51" s="307">
        <f>ManureToBiogas!N52+ManureToBiogas!AB52+ManureToBiogas!AP52+ManureToBiogas!BD52+ManureToBiogas!BR52+ManureToBiogas!CF52</f>
        <v>0</v>
      </c>
      <c r="D51" s="890"/>
      <c r="E51" s="881"/>
      <c r="F51" s="884"/>
      <c r="G51" s="887"/>
    </row>
    <row r="52" spans="2:7" ht="15.5" hidden="1" x14ac:dyDescent="0.35">
      <c r="B52" s="36" t="str">
        <f>IF(ManureToBiogas!C53=0, " ", ManureToBiogas!C53)</f>
        <v xml:space="preserve"> </v>
      </c>
      <c r="C52" s="307">
        <f>ManureToBiogas!N53+ManureToBiogas!AB53+ManureToBiogas!AP53+ManureToBiogas!BD53+ManureToBiogas!BR53+ManureToBiogas!CF53</f>
        <v>0</v>
      </c>
      <c r="D52" s="890"/>
      <c r="E52" s="881"/>
      <c r="F52" s="884"/>
      <c r="G52" s="887"/>
    </row>
    <row r="53" spans="2:7" ht="15.5" hidden="1" x14ac:dyDescent="0.35">
      <c r="B53" s="36" t="str">
        <f>IF(ManureToBiogas!C54=0, " ", ManureToBiogas!C54)</f>
        <v xml:space="preserve"> </v>
      </c>
      <c r="C53" s="307">
        <f>ManureToBiogas!N54+ManureToBiogas!AB54+ManureToBiogas!AP54+ManureToBiogas!BD54+ManureToBiogas!BR54+ManureToBiogas!CF54</f>
        <v>0</v>
      </c>
      <c r="D53" s="890"/>
      <c r="E53" s="881"/>
      <c r="F53" s="884"/>
      <c r="G53" s="887"/>
    </row>
    <row r="54" spans="2:7" ht="15.5" hidden="1" x14ac:dyDescent="0.35">
      <c r="B54" s="36" t="str">
        <f>IF(ManureToBiogas!C55=0, " ", ManureToBiogas!C55)</f>
        <v xml:space="preserve"> </v>
      </c>
      <c r="C54" s="307">
        <f>ManureToBiogas!N55+ManureToBiogas!AB55+ManureToBiogas!AP55+ManureToBiogas!BD55+ManureToBiogas!BR55+ManureToBiogas!CF55</f>
        <v>0</v>
      </c>
      <c r="D54" s="890"/>
      <c r="E54" s="881"/>
      <c r="F54" s="884"/>
      <c r="G54" s="887"/>
    </row>
    <row r="55" spans="2:7" ht="15.5" hidden="1" x14ac:dyDescent="0.35">
      <c r="B55" s="36" t="str">
        <f>IF(ManureToBiogas!C56=0, " ", ManureToBiogas!C56)</f>
        <v xml:space="preserve"> </v>
      </c>
      <c r="C55" s="307">
        <f>ManureToBiogas!N56+ManureToBiogas!AB56+ManureToBiogas!AP56+ManureToBiogas!BD56+ManureToBiogas!BR56+ManureToBiogas!CF56</f>
        <v>0</v>
      </c>
      <c r="D55" s="890"/>
      <c r="E55" s="881"/>
      <c r="F55" s="884"/>
      <c r="G55" s="887"/>
    </row>
    <row r="56" spans="2:7" ht="15.5" hidden="1" x14ac:dyDescent="0.35">
      <c r="B56" s="36" t="str">
        <f>IF(ManureToBiogas!C57=0, " ", ManureToBiogas!C57)</f>
        <v xml:space="preserve"> </v>
      </c>
      <c r="C56" s="307">
        <f>ManureToBiogas!N57+ManureToBiogas!AB57+ManureToBiogas!AP57+ManureToBiogas!BD57+ManureToBiogas!BR57+ManureToBiogas!CF57</f>
        <v>0</v>
      </c>
      <c r="D56" s="890"/>
      <c r="E56" s="881"/>
      <c r="F56" s="884"/>
      <c r="G56" s="887"/>
    </row>
    <row r="57" spans="2:7" ht="15.5" hidden="1" x14ac:dyDescent="0.35">
      <c r="B57" s="36" t="str">
        <f>IF(ManureToBiogas!C58=0, " ", ManureToBiogas!C58)</f>
        <v xml:space="preserve"> </v>
      </c>
      <c r="C57" s="307">
        <f>ManureToBiogas!N58+ManureToBiogas!AB58+ManureToBiogas!AP58+ManureToBiogas!BD58+ManureToBiogas!BR58+ManureToBiogas!CF58</f>
        <v>0</v>
      </c>
      <c r="D57" s="890"/>
      <c r="E57" s="881"/>
      <c r="F57" s="884"/>
      <c r="G57" s="887"/>
    </row>
    <row r="58" spans="2:7" ht="15.5" hidden="1" x14ac:dyDescent="0.35">
      <c r="B58" s="36" t="str">
        <f>IF(ManureToBiogas!C59=0, " ", ManureToBiogas!C59)</f>
        <v xml:space="preserve"> </v>
      </c>
      <c r="C58" s="307">
        <f>ManureToBiogas!N59+ManureToBiogas!AB59+ManureToBiogas!AP59+ManureToBiogas!BD59+ManureToBiogas!BR59+ManureToBiogas!CF59</f>
        <v>0</v>
      </c>
      <c r="D58" s="890"/>
      <c r="E58" s="881"/>
      <c r="F58" s="884"/>
      <c r="G58" s="887"/>
    </row>
    <row r="59" spans="2:7" ht="15.5" hidden="1" x14ac:dyDescent="0.35">
      <c r="B59" s="36" t="str">
        <f>IF(ManureToBiogas!C60=0, " ", ManureToBiogas!C60)</f>
        <v xml:space="preserve"> </v>
      </c>
      <c r="C59" s="307">
        <f>ManureToBiogas!N60+ManureToBiogas!AB60+ManureToBiogas!AP60+ManureToBiogas!BD60+ManureToBiogas!BR60+ManureToBiogas!CF60</f>
        <v>0</v>
      </c>
      <c r="D59" s="890"/>
      <c r="E59" s="881"/>
      <c r="F59" s="884"/>
      <c r="G59" s="887"/>
    </row>
    <row r="60" spans="2:7" ht="15.5" hidden="1" x14ac:dyDescent="0.35">
      <c r="B60" s="36" t="str">
        <f>IF(ManureToBiogas!C61=0, " ", ManureToBiogas!C61)</f>
        <v xml:space="preserve"> </v>
      </c>
      <c r="C60" s="307">
        <f>ManureToBiogas!N61+ManureToBiogas!AB61+ManureToBiogas!AP61+ManureToBiogas!BD61+ManureToBiogas!BR61+ManureToBiogas!CF61</f>
        <v>0</v>
      </c>
      <c r="D60" s="890"/>
      <c r="E60" s="881"/>
      <c r="F60" s="884"/>
      <c r="G60" s="887"/>
    </row>
    <row r="61" spans="2:7" ht="15.5" hidden="1" x14ac:dyDescent="0.35">
      <c r="B61" s="36" t="str">
        <f>IF(ManureToBiogas!C62=0, " ", ManureToBiogas!C62)</f>
        <v xml:space="preserve"> </v>
      </c>
      <c r="C61" s="307">
        <f>ManureToBiogas!N62+ManureToBiogas!AB62+ManureToBiogas!AP62+ManureToBiogas!BD62+ManureToBiogas!BR62+ManureToBiogas!CF62</f>
        <v>0</v>
      </c>
      <c r="D61" s="890"/>
      <c r="E61" s="881"/>
      <c r="F61" s="884"/>
      <c r="G61" s="887"/>
    </row>
    <row r="62" spans="2:7" ht="15.5" hidden="1" x14ac:dyDescent="0.35">
      <c r="B62" s="36" t="str">
        <f>IF(ManureToBiogas!C63=0, " ", ManureToBiogas!C63)</f>
        <v xml:space="preserve"> </v>
      </c>
      <c r="C62" s="307">
        <f>ManureToBiogas!N63+ManureToBiogas!AB63+ManureToBiogas!AP63+ManureToBiogas!BD63+ManureToBiogas!BR63+ManureToBiogas!CF63</f>
        <v>0</v>
      </c>
      <c r="D62" s="890"/>
      <c r="E62" s="881"/>
      <c r="F62" s="884"/>
      <c r="G62" s="887"/>
    </row>
    <row r="63" spans="2:7" ht="15.5" hidden="1" x14ac:dyDescent="0.35">
      <c r="B63" s="36" t="str">
        <f>IF(ManureToBiogas!C64=0, " ", ManureToBiogas!C64)</f>
        <v xml:space="preserve"> </v>
      </c>
      <c r="C63" s="307">
        <f>ManureToBiogas!N64+ManureToBiogas!AB64+ManureToBiogas!AP64+ManureToBiogas!BD64+ManureToBiogas!BR64+ManureToBiogas!CF64</f>
        <v>0</v>
      </c>
      <c r="D63" s="890"/>
      <c r="E63" s="881"/>
      <c r="F63" s="884"/>
      <c r="G63" s="887"/>
    </row>
    <row r="64" spans="2:7" ht="15.5" hidden="1" x14ac:dyDescent="0.35">
      <c r="B64" s="36" t="str">
        <f>IF(ManureToBiogas!C65=0, " ", ManureToBiogas!C65)</f>
        <v xml:space="preserve"> </v>
      </c>
      <c r="C64" s="307">
        <f>ManureToBiogas!N65+ManureToBiogas!AB65+ManureToBiogas!AP65+ManureToBiogas!BD65+ManureToBiogas!BR65+ManureToBiogas!CF65</f>
        <v>0</v>
      </c>
      <c r="D64" s="890"/>
      <c r="E64" s="881"/>
      <c r="F64" s="884"/>
      <c r="G64" s="887"/>
    </row>
    <row r="65" spans="1:8" ht="15.5" hidden="1" x14ac:dyDescent="0.35">
      <c r="B65" s="36" t="str">
        <f>IF(ManureToBiogas!C66=0, " ", ManureToBiogas!C66)</f>
        <v xml:space="preserve"> </v>
      </c>
      <c r="C65" s="307">
        <f>ManureToBiogas!N66+ManureToBiogas!AB66+ManureToBiogas!AP66+ManureToBiogas!BD66+ManureToBiogas!BR66+ManureToBiogas!CF66</f>
        <v>0</v>
      </c>
      <c r="D65" s="890"/>
      <c r="E65" s="881"/>
      <c r="F65" s="884"/>
      <c r="G65" s="887"/>
    </row>
    <row r="66" spans="1:8" ht="15.5" hidden="1" x14ac:dyDescent="0.35">
      <c r="B66" s="36" t="str">
        <f>IF(ManureToBiogas!C67=0, " ", ManureToBiogas!C67)</f>
        <v xml:space="preserve"> </v>
      </c>
      <c r="C66" s="307">
        <f>ManureToBiogas!N67+ManureToBiogas!AB67+ManureToBiogas!AP67+ManureToBiogas!BD67+ManureToBiogas!BR67+ManureToBiogas!CF67</f>
        <v>0</v>
      </c>
      <c r="D66" s="890"/>
      <c r="E66" s="881"/>
      <c r="F66" s="884"/>
      <c r="G66" s="887"/>
    </row>
    <row r="67" spans="1:8" ht="15.5" hidden="1" x14ac:dyDescent="0.35">
      <c r="B67" s="36" t="str">
        <f>IF(ManureToBiogas!C68=0, " ", ManureToBiogas!C68)</f>
        <v xml:space="preserve"> </v>
      </c>
      <c r="C67" s="307">
        <f>ManureToBiogas!N68+ManureToBiogas!AB68+ManureToBiogas!AP68+ManureToBiogas!BD68+ManureToBiogas!BR68+ManureToBiogas!CF68</f>
        <v>0</v>
      </c>
      <c r="D67" s="891"/>
      <c r="E67" s="882"/>
      <c r="F67" s="885"/>
      <c r="G67" s="888"/>
    </row>
    <row r="68" spans="1:8" ht="51" customHeight="1" thickBot="1" x14ac:dyDescent="0.4">
      <c r="B68" s="488" t="s">
        <v>568</v>
      </c>
      <c r="C68" s="308">
        <f>IFERROR((SUM(C8:C67)+ManureToBiogas!J83)/months_baseline, 0)</f>
        <v>0</v>
      </c>
      <c r="D68" s="308">
        <f>IFERROR(SUM(D8:D31)/months_project,0)</f>
        <v>0</v>
      </c>
      <c r="E68" s="308">
        <f>IFERROR(ManureToBiogas!K120/months_baseline,0)</f>
        <v>0</v>
      </c>
      <c r="F68" s="308">
        <f>IFERROR(ManureToBiogas!J144/months_baseline,0)</f>
        <v>0</v>
      </c>
      <c r="G68" s="492">
        <f>IFERROR(SUM(G8:G31)/months_project,0)</f>
        <v>0</v>
      </c>
    </row>
    <row r="69" spans="1:8" ht="15.5" x14ac:dyDescent="0.35">
      <c r="B69" s="48"/>
      <c r="C69" s="48"/>
      <c r="D69" s="48"/>
      <c r="E69" s="48"/>
      <c r="F69" s="48"/>
      <c r="G69" s="48"/>
      <c r="H69" s="48"/>
    </row>
    <row r="70" spans="1:8" ht="16" thickBot="1" x14ac:dyDescent="0.4">
      <c r="B70" s="48"/>
      <c r="C70" s="48"/>
      <c r="D70" s="48"/>
      <c r="E70" s="48"/>
      <c r="F70" s="48"/>
      <c r="G70" s="48"/>
      <c r="H70" s="48"/>
    </row>
    <row r="71" spans="1:8" ht="24" customHeight="1" x14ac:dyDescent="0.35">
      <c r="B71" s="864" t="s">
        <v>212</v>
      </c>
      <c r="C71" s="865"/>
      <c r="D71" s="866"/>
      <c r="E71" s="48"/>
      <c r="F71" s="48"/>
      <c r="G71" s="48"/>
      <c r="H71" s="48"/>
    </row>
    <row r="72" spans="1:8" ht="21.65" customHeight="1" x14ac:dyDescent="0.35">
      <c r="B72" s="73"/>
      <c r="C72" s="493" t="s">
        <v>19</v>
      </c>
      <c r="D72" s="494" t="s">
        <v>20</v>
      </c>
      <c r="E72" s="48"/>
      <c r="F72" s="48"/>
      <c r="G72" s="48"/>
      <c r="H72" s="48"/>
    </row>
    <row r="73" spans="1:8" ht="53.25" customHeight="1" x14ac:dyDescent="0.35">
      <c r="B73" s="495" t="s">
        <v>213</v>
      </c>
      <c r="C73" s="74">
        <f>IF(months_project=0,0,SUM(D68:G68)*months_project)</f>
        <v>0</v>
      </c>
      <c r="D73" s="75" t="s">
        <v>214</v>
      </c>
      <c r="E73" s="48"/>
      <c r="F73" s="48"/>
      <c r="G73" s="48"/>
      <c r="H73" s="48"/>
    </row>
    <row r="74" spans="1:8" ht="51" customHeight="1" x14ac:dyDescent="0.35">
      <c r="B74" s="495" t="s">
        <v>215</v>
      </c>
      <c r="C74" s="337">
        <f>IF(months_project=0,0,IF((C68*months_project-C73)&gt;C76,C76,C68*months_project-C73)*-1)</f>
        <v>0</v>
      </c>
      <c r="D74" s="75" t="s">
        <v>214</v>
      </c>
      <c r="E74" s="48"/>
      <c r="F74" s="48"/>
      <c r="G74" s="48"/>
      <c r="H74" s="48"/>
    </row>
    <row r="75" spans="1:8" ht="30.65" customHeight="1" x14ac:dyDescent="0.35">
      <c r="B75" s="867" t="s">
        <v>216</v>
      </c>
      <c r="C75" s="868"/>
      <c r="D75" s="869"/>
      <c r="E75" s="48"/>
      <c r="F75" s="48"/>
      <c r="G75" s="48"/>
      <c r="H75" s="48"/>
    </row>
    <row r="76" spans="1:8" ht="39.65" customHeight="1" x14ac:dyDescent="0.35">
      <c r="B76" s="495" t="s">
        <v>217</v>
      </c>
      <c r="C76" s="74">
        <f>BiogasToBiomethane!C52*BiogasToBiomethane!D52*density_CH4*g2MT</f>
        <v>0</v>
      </c>
      <c r="D76" s="75" t="s">
        <v>214</v>
      </c>
      <c r="E76" s="48"/>
      <c r="F76" s="48"/>
      <c r="G76" s="48"/>
      <c r="H76" s="48"/>
    </row>
    <row r="77" spans="1:8" ht="41.15" customHeight="1" x14ac:dyDescent="0.35">
      <c r="B77" s="495" t="s">
        <v>567</v>
      </c>
      <c r="C77" s="74">
        <f>BiogasToBiomethane!E52*BiogasToBiomethane!F52*density_CH4*g2MT</f>
        <v>0</v>
      </c>
      <c r="D77" s="75" t="s">
        <v>214</v>
      </c>
      <c r="E77" s="48"/>
      <c r="F77" s="48"/>
      <c r="G77" s="48"/>
      <c r="H77" s="48"/>
    </row>
    <row r="78" spans="1:8" ht="41.15" customHeight="1" x14ac:dyDescent="0.35">
      <c r="B78" s="495" t="s">
        <v>218</v>
      </c>
      <c r="C78" s="74">
        <f>BiogasToBiomethane!G52*BiogasToBiomethane!H52*density_CH4*g2MT</f>
        <v>0</v>
      </c>
      <c r="D78" s="75" t="s">
        <v>214</v>
      </c>
      <c r="E78" s="48"/>
      <c r="F78" s="48"/>
      <c r="G78" s="48"/>
      <c r="H78" s="48"/>
    </row>
    <row r="79" spans="1:8" ht="54" customHeight="1" x14ac:dyDescent="0.35">
      <c r="B79" s="495" t="s">
        <v>619</v>
      </c>
      <c r="C79" s="74">
        <f>BiogasToBiomethane!Z53*density_CH4*g2MT</f>
        <v>0</v>
      </c>
      <c r="D79" s="75" t="s">
        <v>214</v>
      </c>
      <c r="E79" s="48"/>
      <c r="F79" s="48"/>
      <c r="G79" s="48"/>
      <c r="H79" s="48"/>
    </row>
    <row r="80" spans="1:8" ht="34.5" customHeight="1" x14ac:dyDescent="0.35">
      <c r="A80" s="329" t="s">
        <v>573</v>
      </c>
      <c r="B80" s="495" t="s">
        <v>620</v>
      </c>
      <c r="C80" s="74">
        <f>BiogasToBiomethane!AB52*mmBtu2Btu/LHV_CH4*density_CH4*g2MT</f>
        <v>0</v>
      </c>
      <c r="D80" s="75" t="s">
        <v>214</v>
      </c>
      <c r="E80" s="48"/>
    </row>
    <row r="81" spans="2:9" ht="48" customHeight="1" x14ac:dyDescent="0.35">
      <c r="B81" s="495" t="s">
        <v>612</v>
      </c>
      <c r="C81" s="74">
        <f>BiogasToBiomethane!AE57*mmBtu2Btu/LHV_CH4*density_CH4*g2MT</f>
        <v>0</v>
      </c>
      <c r="D81" s="75" t="s">
        <v>214</v>
      </c>
      <c r="E81" s="48"/>
    </row>
    <row r="82" spans="2:9" ht="33" customHeight="1" x14ac:dyDescent="0.35">
      <c r="B82" s="861" t="s">
        <v>219</v>
      </c>
      <c r="C82" s="862"/>
      <c r="D82" s="863"/>
      <c r="E82" s="48"/>
    </row>
    <row r="83" spans="2:9" ht="36" customHeight="1" x14ac:dyDescent="0.35">
      <c r="B83" s="495" t="s">
        <v>621</v>
      </c>
      <c r="C83" s="315">
        <f>IFERROR(C81/C76,0)</f>
        <v>0</v>
      </c>
      <c r="D83" s="76" t="s">
        <v>43</v>
      </c>
      <c r="E83" s="316"/>
    </row>
    <row r="84" spans="2:9" ht="43" customHeight="1" x14ac:dyDescent="0.35">
      <c r="B84" s="495" t="s">
        <v>622</v>
      </c>
      <c r="C84" s="77">
        <f>IFERROR(C74*C83,0)</f>
        <v>0</v>
      </c>
      <c r="D84" s="75" t="s">
        <v>214</v>
      </c>
      <c r="E84" s="48"/>
    </row>
    <row r="85" spans="2:9" ht="45" customHeight="1" x14ac:dyDescent="0.35">
      <c r="B85" s="495" t="s">
        <v>623</v>
      </c>
      <c r="C85" s="77">
        <f>IFERROR(C84/C81,0)</f>
        <v>0</v>
      </c>
      <c r="D85" s="78" t="s">
        <v>552</v>
      </c>
      <c r="E85" s="48"/>
    </row>
    <row r="86" spans="2:9" ht="31" x14ac:dyDescent="0.35">
      <c r="B86" s="495" t="s">
        <v>625</v>
      </c>
      <c r="C86" s="77">
        <f>C85*MT2g/(MT2g/density_CH4*LHV_CH4*Btu2MJ)</f>
        <v>0</v>
      </c>
      <c r="D86" s="78" t="s">
        <v>537</v>
      </c>
      <c r="E86" s="48"/>
    </row>
    <row r="87" spans="2:9" ht="40.5" customHeight="1" x14ac:dyDescent="0.35">
      <c r="B87" s="495" t="s">
        <v>624</v>
      </c>
      <c r="C87" s="77">
        <f>IF(Include_AvoidedMethane=1,IFERROR(C86*GWP_CH4,0),0)</f>
        <v>0</v>
      </c>
      <c r="D87" s="497" t="s">
        <v>520</v>
      </c>
      <c r="E87" s="48"/>
    </row>
    <row r="88" spans="2:9" ht="17.5" customHeight="1" x14ac:dyDescent="0.35">
      <c r="F88" s="48"/>
      <c r="G88" s="48"/>
      <c r="H88" s="328"/>
      <c r="I88" s="48"/>
    </row>
    <row r="89" spans="2:9" ht="16.5" customHeight="1" x14ac:dyDescent="0.35">
      <c r="F89" s="48"/>
      <c r="G89" s="48"/>
      <c r="H89" s="48"/>
    </row>
    <row r="90" spans="2:9" ht="46.5" customHeight="1" x14ac:dyDescent="0.35">
      <c r="I90" s="48"/>
    </row>
    <row r="91" spans="2:9" ht="43" customHeight="1" x14ac:dyDescent="0.35">
      <c r="I91" s="48"/>
    </row>
    <row r="92" spans="2:9" ht="36" customHeight="1" x14ac:dyDescent="0.35"/>
    <row r="93" spans="2:9" ht="36.65" customHeight="1" x14ac:dyDescent="0.35"/>
    <row r="94" spans="2:9" ht="38.5" customHeight="1" x14ac:dyDescent="0.35"/>
  </sheetData>
  <mergeCells count="11">
    <mergeCell ref="B82:D82"/>
    <mergeCell ref="B71:D71"/>
    <mergeCell ref="B75:D75"/>
    <mergeCell ref="B3:G3"/>
    <mergeCell ref="B5:B6"/>
    <mergeCell ref="C5:C6"/>
    <mergeCell ref="D5:G5"/>
    <mergeCell ref="E8:E67"/>
    <mergeCell ref="F8:F67"/>
    <mergeCell ref="G32:G67"/>
    <mergeCell ref="D32:D67"/>
  </mergeCells>
  <dataValidations count="1">
    <dataValidation type="list" allowBlank="1" showInputMessage="1" showErrorMessage="1" sqref="C4" xr:uid="{977DAF34-DB5B-4D08-B188-F69F99D53D38}">
      <formula1>"Covered Lagoon, Enclosed Vessel"</formula1>
    </dataValidation>
  </dataValidation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DF9B3-CD5C-43FF-B857-6A8C109FFA33}">
  <sheetPr codeName="Biogas_to_RNG">
    <tabColor rgb="FFE26B0A"/>
    <pageSetUpPr fitToPage="1"/>
  </sheetPr>
  <dimension ref="B1:AV128"/>
  <sheetViews>
    <sheetView showGridLines="0" zoomScale="80" zoomScaleNormal="80" workbookViewId="0">
      <pane ySplit="1" topLeftCell="A13" activePane="bottomLeft" state="frozen"/>
      <selection pane="bottomLeft" activeCell="L11" sqref="L11"/>
    </sheetView>
  </sheetViews>
  <sheetFormatPr defaultColWidth="9.1796875" defaultRowHeight="14.5" x14ac:dyDescent="0.35"/>
  <cols>
    <col min="1" max="1" width="4" style="80" customWidth="1"/>
    <col min="2" max="2" width="29.54296875" style="80" customWidth="1"/>
    <col min="3" max="3" width="21.7265625" style="80" customWidth="1"/>
    <col min="4" max="4" width="31.453125" style="80" customWidth="1"/>
    <col min="5" max="5" width="27.1796875" style="80" customWidth="1"/>
    <col min="6" max="6" width="21.54296875" style="80" customWidth="1"/>
    <col min="7" max="7" width="22.7265625" style="80" customWidth="1"/>
    <col min="8" max="8" width="20.81640625" style="80" customWidth="1"/>
    <col min="9" max="10" width="20" style="80" customWidth="1"/>
    <col min="11" max="11" width="21" style="80" customWidth="1"/>
    <col min="12" max="14" width="20" style="80" customWidth="1"/>
    <col min="15" max="16" width="20.54296875" style="80" customWidth="1"/>
    <col min="17" max="19" width="18.1796875" style="80" customWidth="1"/>
    <col min="20" max="20" width="22.81640625" style="80" customWidth="1"/>
    <col min="21" max="21" width="20.7265625" style="80" customWidth="1"/>
    <col min="22" max="22" width="19.7265625" style="80" bestFit="1" customWidth="1"/>
    <col min="23" max="23" width="22.81640625" style="80" customWidth="1"/>
    <col min="24" max="24" width="22.1796875" style="80" customWidth="1"/>
    <col min="25" max="25" width="21.1796875" style="80" customWidth="1"/>
    <col min="26" max="26" width="19.1796875" style="80" customWidth="1"/>
    <col min="27" max="27" width="32" style="80" customWidth="1"/>
    <col min="28" max="28" width="21.54296875" style="80" customWidth="1"/>
    <col min="29" max="29" width="19.1796875" style="80" bestFit="1" customWidth="1"/>
    <col min="30" max="30" width="15.7265625" style="80" customWidth="1"/>
    <col min="31" max="31" width="25.54296875" style="80" customWidth="1"/>
    <col min="32" max="32" width="22.54296875" style="80" customWidth="1"/>
    <col min="33" max="33" width="23.81640625" style="80" customWidth="1"/>
    <col min="34" max="34" width="44.7265625" style="80" customWidth="1"/>
    <col min="35" max="35" width="45.54296875" style="80" customWidth="1"/>
    <col min="36" max="36" width="25.1796875" style="80" bestFit="1" customWidth="1"/>
    <col min="37" max="37" width="23.453125" style="80" customWidth="1"/>
    <col min="38" max="38" width="24.7265625" style="80" customWidth="1"/>
    <col min="39" max="39" width="26.1796875" style="80" customWidth="1"/>
    <col min="40" max="40" width="20.1796875" style="80" customWidth="1"/>
    <col min="41" max="41" width="17.26953125" style="80" customWidth="1"/>
    <col min="42" max="42" width="19.26953125" style="80" customWidth="1"/>
    <col min="43" max="43" width="13.1796875" style="80" customWidth="1"/>
    <col min="44" max="44" width="10.81640625" style="80" customWidth="1"/>
    <col min="45" max="45" width="12.1796875" style="80" customWidth="1"/>
    <col min="46" max="46" width="14" style="80" customWidth="1"/>
    <col min="47" max="47" width="11.26953125" style="80" customWidth="1"/>
    <col min="48" max="48" width="12.1796875" style="80" customWidth="1"/>
    <col min="49" max="16384" width="9.1796875" style="80"/>
  </cols>
  <sheetData>
    <row r="1" spans="2:37" ht="30" customHeight="1" x14ac:dyDescent="0.8">
      <c r="B1" s="79"/>
      <c r="D1" s="81"/>
    </row>
    <row r="2" spans="2:37" ht="50.15" customHeight="1" x14ac:dyDescent="0.35">
      <c r="C2" s="79"/>
      <c r="O2" s="915"/>
      <c r="P2" s="915"/>
      <c r="Q2" s="915"/>
      <c r="R2" s="915"/>
      <c r="S2" s="915"/>
      <c r="T2" s="915"/>
      <c r="U2" s="915"/>
      <c r="AG2" s="82"/>
    </row>
    <row r="3" spans="2:37" ht="6.75" customHeight="1" x14ac:dyDescent="0.35">
      <c r="AG3" s="83"/>
    </row>
    <row r="4" spans="2:37" ht="3.75" customHeight="1" x14ac:dyDescent="0.35">
      <c r="AG4" s="84"/>
    </row>
    <row r="5" spans="2:37" ht="71.5" customHeight="1" x14ac:dyDescent="0.35">
      <c r="B5" s="940" t="s">
        <v>725</v>
      </c>
      <c r="C5" s="940"/>
      <c r="D5" s="940"/>
      <c r="E5" s="940"/>
      <c r="F5" s="940"/>
      <c r="G5" s="940"/>
      <c r="H5" s="940"/>
      <c r="I5" s="940"/>
      <c r="J5" s="940"/>
      <c r="AG5" s="85"/>
    </row>
    <row r="6" spans="2:37" ht="10.5" customHeight="1" x14ac:dyDescent="0.35">
      <c r="B6" s="86"/>
      <c r="C6" s="87"/>
      <c r="D6" s="86"/>
      <c r="E6" s="86"/>
      <c r="F6" s="86"/>
      <c r="Y6" s="892"/>
      <c r="Z6" s="892"/>
      <c r="AA6" s="892"/>
      <c r="AB6" s="892"/>
      <c r="AC6" s="892"/>
      <c r="AD6" s="892"/>
      <c r="AE6" s="892"/>
      <c r="AF6" s="892"/>
      <c r="AG6" s="88"/>
    </row>
    <row r="7" spans="2:37" ht="11.25" customHeight="1" x14ac:dyDescent="0.7">
      <c r="C7" s="89"/>
      <c r="D7" s="89"/>
      <c r="E7" s="89"/>
      <c r="F7" s="89"/>
      <c r="T7" s="90"/>
    </row>
    <row r="8" spans="2:37" ht="6" customHeight="1" thickBot="1" x14ac:dyDescent="0.75">
      <c r="T8" s="90"/>
    </row>
    <row r="9" spans="2:37" ht="29.25" customHeight="1" thickBot="1" x14ac:dyDescent="0.4">
      <c r="B9" s="498" t="s">
        <v>545</v>
      </c>
      <c r="C9" s="468"/>
      <c r="D9" s="469"/>
      <c r="E9" s="469"/>
      <c r="F9" s="469"/>
      <c r="G9" s="469"/>
      <c r="H9" s="469"/>
      <c r="I9" s="469"/>
      <c r="J9" s="470"/>
      <c r="Q9" s="91"/>
      <c r="R9" s="91"/>
      <c r="S9" s="91"/>
      <c r="T9" s="91"/>
      <c r="U9" s="91"/>
      <c r="V9" s="91"/>
      <c r="W9" s="91"/>
      <c r="X9" s="91"/>
      <c r="Y9" s="92"/>
      <c r="Z9" s="92"/>
      <c r="AA9" s="92"/>
      <c r="AB9" s="92"/>
      <c r="AC9" s="92"/>
      <c r="AD9" s="92"/>
      <c r="AE9" s="92"/>
      <c r="AF9" s="92"/>
    </row>
    <row r="10" spans="2:37" ht="39" customHeight="1" x14ac:dyDescent="0.35">
      <c r="B10" s="499" t="s">
        <v>220</v>
      </c>
      <c r="C10" s="500">
        <f>G94</f>
        <v>0</v>
      </c>
      <c r="D10" s="931" t="str">
        <f>CONCATENATE("Pathway Description: Biomethane produced from livestock manure, pipelined to ",F15, " for Compressed Natural Gas")</f>
        <v>Pathway Description: Biomethane produced from livestock manure, pipelined to  for Compressed Natural Gas</v>
      </c>
      <c r="E10" s="932"/>
      <c r="F10" s="932"/>
      <c r="G10" s="932"/>
      <c r="H10" s="932"/>
      <c r="I10" s="932"/>
      <c r="J10" s="933"/>
      <c r="Q10" s="93"/>
      <c r="R10" s="93"/>
      <c r="S10" s="93"/>
      <c r="T10" s="93"/>
      <c r="U10" s="93"/>
      <c r="V10" s="93"/>
      <c r="W10" s="93"/>
      <c r="X10" s="93"/>
    </row>
    <row r="11" spans="2:37" ht="39" customHeight="1" x14ac:dyDescent="0.35">
      <c r="B11" s="501" t="s">
        <v>221</v>
      </c>
      <c r="C11" s="502">
        <f>G95</f>
        <v>0</v>
      </c>
      <c r="D11" s="931" t="str">
        <f>CONCATENATE("Pathway Description: Biomethane produced from livestock manure, pipelined to ",C20, " for liquefaction, then transported by truck to New Mexico LNG stations")</f>
        <v>Pathway Description: Biomethane produced from livestock manure, pipelined to  for liquefaction, then transported by truck to New Mexico LNG stations</v>
      </c>
      <c r="E11" s="932"/>
      <c r="F11" s="932"/>
      <c r="G11" s="932"/>
      <c r="H11" s="932"/>
      <c r="I11" s="932"/>
      <c r="J11" s="933"/>
      <c r="Q11" s="93"/>
      <c r="R11" s="93"/>
      <c r="S11" s="93"/>
      <c r="T11" s="93"/>
      <c r="U11" s="93"/>
      <c r="V11" s="93"/>
      <c r="W11" s="93"/>
      <c r="X11" s="93"/>
    </row>
    <row r="12" spans="2:37" ht="39.75" customHeight="1" thickBot="1" x14ac:dyDescent="0.4">
      <c r="B12" s="503" t="s">
        <v>222</v>
      </c>
      <c r="C12" s="504">
        <f>G96</f>
        <v>0</v>
      </c>
      <c r="D12" s="934" t="str">
        <f>CONCATENATE("Pathway Description: Biomethane produced from livestock manure, pipelined ",C20, " for liquefaction, then transported by truck to New Mexico LNG stations, re-gasified and compressed for use as L‑CNG")</f>
        <v>Pathway Description: Biomethane produced from livestock manure, pipelined  for liquefaction, then transported by truck to New Mexico LNG stations, re-gasified and compressed for use as L‑CNG</v>
      </c>
      <c r="E12" s="935"/>
      <c r="F12" s="935"/>
      <c r="G12" s="935"/>
      <c r="H12" s="935"/>
      <c r="I12" s="935"/>
      <c r="J12" s="936"/>
      <c r="Q12" s="94"/>
      <c r="R12" s="94"/>
      <c r="S12" s="94"/>
      <c r="T12" s="94"/>
      <c r="U12" s="94"/>
      <c r="V12" s="94"/>
      <c r="W12" s="94"/>
      <c r="X12" s="94"/>
    </row>
    <row r="13" spans="2:37" ht="27" customHeight="1" thickBot="1" x14ac:dyDescent="0.4"/>
    <row r="14" spans="2:37" ht="28.5" customHeight="1" thickBot="1" x14ac:dyDescent="0.4">
      <c r="B14" s="444" t="s">
        <v>223</v>
      </c>
      <c r="C14" s="445"/>
      <c r="D14" s="445"/>
      <c r="E14" s="445"/>
      <c r="F14" s="445"/>
      <c r="G14" s="445"/>
      <c r="H14" s="445"/>
      <c r="I14" s="445"/>
      <c r="J14" s="446"/>
      <c r="L14" s="95"/>
      <c r="M14" s="95"/>
      <c r="N14" s="95"/>
      <c r="O14" s="95"/>
      <c r="P14" s="95"/>
      <c r="Q14" s="95"/>
      <c r="R14" s="95"/>
      <c r="S14" s="95"/>
      <c r="T14" s="96"/>
      <c r="U14" s="97"/>
      <c r="V14" s="97"/>
      <c r="W14" s="97"/>
      <c r="X14" s="97"/>
      <c r="Y14" s="98"/>
      <c r="Z14" s="98"/>
      <c r="AA14" s="98"/>
      <c r="AB14" s="98"/>
      <c r="AC14" s="98"/>
      <c r="AD14" s="98"/>
      <c r="AE14" s="98"/>
      <c r="AF14" s="98"/>
      <c r="AG14" s="98"/>
      <c r="AH14" s="98"/>
      <c r="AI14" s="98"/>
      <c r="AJ14" s="98"/>
    </row>
    <row r="15" spans="2:37" s="100" customFormat="1" ht="58" customHeight="1" x14ac:dyDescent="0.35">
      <c r="B15" s="505" t="s">
        <v>224</v>
      </c>
      <c r="C15" s="903"/>
      <c r="D15" s="904"/>
      <c r="E15" s="506" t="s">
        <v>225</v>
      </c>
      <c r="F15" s="905"/>
      <c r="G15" s="906"/>
      <c r="H15" s="922" t="s">
        <v>226</v>
      </c>
      <c r="I15" s="923"/>
      <c r="J15" s="924"/>
      <c r="K15" s="99"/>
      <c r="L15" s="99"/>
      <c r="M15" s="99"/>
      <c r="N15" s="99"/>
      <c r="O15" s="99"/>
      <c r="P15" s="99"/>
      <c r="Q15" s="99"/>
      <c r="R15" s="99"/>
      <c r="S15" s="99"/>
      <c r="T15" s="99"/>
      <c r="AK15" s="101"/>
    </row>
    <row r="16" spans="2:37" s="100" customFormat="1" ht="58" customHeight="1" x14ac:dyDescent="0.35">
      <c r="B16" s="508" t="s">
        <v>227</v>
      </c>
      <c r="C16" s="907"/>
      <c r="D16" s="908"/>
      <c r="E16" s="509" t="s">
        <v>228</v>
      </c>
      <c r="F16" s="907"/>
      <c r="G16" s="908"/>
      <c r="H16" s="925"/>
      <c r="I16" s="926"/>
      <c r="J16" s="927"/>
      <c r="K16" s="102"/>
      <c r="L16" s="102"/>
      <c r="T16" s="103"/>
      <c r="Y16" s="104"/>
      <c r="Z16" s="104"/>
      <c r="AA16" s="104"/>
      <c r="AB16" s="104"/>
      <c r="AC16" s="104"/>
      <c r="AD16" s="104"/>
      <c r="AE16" s="104"/>
      <c r="AF16" s="104"/>
      <c r="AG16" s="105"/>
      <c r="AH16" s="104"/>
      <c r="AI16" s="104"/>
      <c r="AK16" s="101"/>
    </row>
    <row r="17" spans="2:42" s="100" customFormat="1" ht="58" customHeight="1" x14ac:dyDescent="0.35">
      <c r="B17" s="508" t="s">
        <v>626</v>
      </c>
      <c r="C17" s="907"/>
      <c r="D17" s="908"/>
      <c r="E17" s="510" t="s">
        <v>229</v>
      </c>
      <c r="F17" s="907"/>
      <c r="G17" s="908"/>
      <c r="H17" s="925"/>
      <c r="I17" s="926"/>
      <c r="J17" s="927"/>
      <c r="K17" s="102"/>
      <c r="L17" s="102"/>
      <c r="T17" s="103"/>
      <c r="U17" s="106"/>
      <c r="V17" s="106"/>
      <c r="W17" s="106"/>
      <c r="X17" s="106"/>
      <c r="Y17" s="104"/>
      <c r="Z17" s="104"/>
      <c r="AA17" s="104"/>
      <c r="AB17" s="104"/>
      <c r="AC17" s="104"/>
      <c r="AD17" s="104"/>
      <c r="AE17" s="104"/>
      <c r="AF17" s="104"/>
      <c r="AG17" s="105"/>
      <c r="AH17" s="104"/>
      <c r="AI17" s="104"/>
      <c r="AK17" s="101"/>
    </row>
    <row r="18" spans="2:42" s="100" customFormat="1" ht="31" x14ac:dyDescent="0.35">
      <c r="B18" s="511" t="s">
        <v>230</v>
      </c>
      <c r="C18" s="907"/>
      <c r="D18" s="908"/>
      <c r="E18" s="916" t="s">
        <v>231</v>
      </c>
      <c r="F18" s="918" t="str">
        <f>AvoidedEmissions!C4</f>
        <v>Covered Lagoon</v>
      </c>
      <c r="G18" s="919"/>
      <c r="H18" s="925"/>
      <c r="I18" s="926"/>
      <c r="J18" s="927"/>
      <c r="K18" s="103"/>
      <c r="L18" s="103"/>
      <c r="T18" s="103"/>
      <c r="U18" s="106"/>
      <c r="V18" s="106"/>
      <c r="W18" s="106"/>
      <c r="X18" s="106"/>
      <c r="Y18" s="104"/>
      <c r="Z18" s="104"/>
      <c r="AA18" s="104"/>
      <c r="AB18" s="104"/>
      <c r="AC18" s="104"/>
      <c r="AD18" s="104"/>
      <c r="AE18" s="104"/>
      <c r="AF18" s="104"/>
      <c r="AG18" s="105"/>
      <c r="AH18" s="104"/>
      <c r="AI18" s="104"/>
      <c r="AK18" s="101"/>
    </row>
    <row r="19" spans="2:42" s="100" customFormat="1" ht="58" customHeight="1" x14ac:dyDescent="0.35">
      <c r="B19" s="512" t="s">
        <v>232</v>
      </c>
      <c r="C19" s="937"/>
      <c r="D19" s="937"/>
      <c r="E19" s="917"/>
      <c r="F19" s="920"/>
      <c r="G19" s="921"/>
      <c r="H19" s="925"/>
      <c r="I19" s="926"/>
      <c r="J19" s="927"/>
      <c r="K19" s="103"/>
      <c r="L19" s="103"/>
      <c r="M19" s="103"/>
      <c r="N19" s="103"/>
      <c r="O19" s="103"/>
      <c r="P19" s="103"/>
      <c r="Q19" s="103"/>
      <c r="R19" s="103"/>
      <c r="S19" s="103"/>
      <c r="T19" s="103"/>
      <c r="Y19" s="104"/>
      <c r="Z19" s="104"/>
      <c r="AA19" s="104"/>
      <c r="AB19" s="104"/>
      <c r="AC19" s="104"/>
      <c r="AD19" s="104"/>
      <c r="AE19" s="104"/>
      <c r="AF19" s="104"/>
      <c r="AG19" s="105"/>
      <c r="AH19" s="104"/>
      <c r="AI19" s="104"/>
      <c r="AK19" s="101"/>
    </row>
    <row r="20" spans="2:42" s="100" customFormat="1" ht="58" customHeight="1" thickBot="1" x14ac:dyDescent="0.4">
      <c r="B20" s="514" t="s">
        <v>234</v>
      </c>
      <c r="C20" s="938"/>
      <c r="D20" s="939"/>
      <c r="E20" s="515" t="s">
        <v>707</v>
      </c>
      <c r="F20" s="899" t="str">
        <f>_xlfn.LET(_xlpm.T_avg, AVERAGE(ManureToBiogas!G9:G68),
     IFERROR(IF(_xlpm.T_avg&lt;=10,"≤10",IF(_xlpm.T_avg&gt;=28,"≥28",ROUND(_xlpm.T_avg,0))),""))</f>
        <v/>
      </c>
      <c r="G20" s="900"/>
      <c r="H20" s="928"/>
      <c r="I20" s="929"/>
      <c r="J20" s="930"/>
      <c r="K20" s="103"/>
      <c r="L20" s="103"/>
      <c r="M20" s="103"/>
      <c r="N20" s="103"/>
      <c r="O20" s="103"/>
      <c r="P20" s="103"/>
      <c r="Q20" s="103"/>
      <c r="R20" s="103"/>
      <c r="S20" s="103"/>
      <c r="T20" s="103"/>
      <c r="Y20" s="104"/>
      <c r="Z20" s="104"/>
      <c r="AA20" s="104"/>
      <c r="AB20" s="104"/>
      <c r="AC20" s="104"/>
      <c r="AD20" s="104"/>
      <c r="AE20" s="104"/>
      <c r="AF20" s="104"/>
      <c r="AG20" s="105"/>
      <c r="AH20" s="104"/>
      <c r="AI20" s="104"/>
      <c r="AK20" s="101"/>
    </row>
    <row r="21" spans="2:42" s="100" customFormat="1" ht="18.5" x14ac:dyDescent="0.35">
      <c r="B21" s="107"/>
      <c r="D21" s="107"/>
      <c r="E21" s="107"/>
      <c r="F21" s="107"/>
      <c r="G21" s="103"/>
      <c r="H21" s="103"/>
      <c r="I21" s="103"/>
      <c r="J21" s="103"/>
      <c r="K21" s="103"/>
      <c r="L21" s="103"/>
      <c r="M21" s="103"/>
      <c r="N21" s="103"/>
      <c r="O21" s="103"/>
      <c r="P21" s="103"/>
      <c r="Q21" s="103"/>
      <c r="R21" s="103"/>
      <c r="S21" s="103"/>
      <c r="T21" s="103"/>
      <c r="Y21" s="104"/>
      <c r="Z21" s="104"/>
      <c r="AA21" s="104"/>
      <c r="AB21" s="104"/>
      <c r="AC21" s="104"/>
      <c r="AD21" s="104"/>
      <c r="AE21" s="104"/>
      <c r="AF21" s="104"/>
      <c r="AG21" s="105"/>
      <c r="AH21" s="104"/>
      <c r="AI21" s="104"/>
      <c r="AK21" s="101"/>
    </row>
    <row r="22" spans="2:42" s="100" customFormat="1" ht="15" thickBot="1" x14ac:dyDescent="0.4">
      <c r="AM22" s="108"/>
      <c r="AN22" s="109"/>
    </row>
    <row r="23" spans="2:42" s="110" customFormat="1" ht="30" customHeight="1" thickBot="1" x14ac:dyDescent="0.4">
      <c r="B23" s="444" t="s">
        <v>235</v>
      </c>
      <c r="C23" s="445"/>
      <c r="D23" s="445"/>
      <c r="E23" s="445"/>
      <c r="F23" s="445"/>
      <c r="G23" s="445"/>
      <c r="H23" s="445"/>
      <c r="I23" s="445"/>
      <c r="J23" s="445"/>
      <c r="K23" s="445"/>
      <c r="L23" s="445"/>
      <c r="M23" s="445"/>
      <c r="N23" s="445"/>
      <c r="O23" s="445"/>
      <c r="P23" s="445"/>
      <c r="Q23" s="445"/>
      <c r="R23" s="445"/>
      <c r="S23" s="445"/>
      <c r="T23" s="445"/>
      <c r="U23" s="445"/>
      <c r="V23" s="445"/>
      <c r="W23" s="445"/>
      <c r="X23" s="445"/>
      <c r="Y23" s="445"/>
      <c r="Z23" s="445"/>
      <c r="AA23" s="445"/>
      <c r="AB23" s="445"/>
      <c r="AC23" s="445"/>
      <c r="AD23" s="445"/>
      <c r="AE23" s="445"/>
      <c r="AF23" s="446"/>
      <c r="AG23" s="104"/>
      <c r="AH23" s="444" t="s">
        <v>236</v>
      </c>
      <c r="AI23" s="446"/>
      <c r="AJ23" s="101"/>
      <c r="AK23" s="100"/>
      <c r="AL23" s="100"/>
      <c r="AM23" s="100"/>
      <c r="AN23" s="100"/>
      <c r="AO23" s="100"/>
      <c r="AP23" s="100"/>
    </row>
    <row r="24" spans="2:42" ht="69" customHeight="1" thickBot="1" x14ac:dyDescent="0.4">
      <c r="B24" s="516" t="s">
        <v>237</v>
      </c>
      <c r="C24" s="517"/>
      <c r="D24" s="111" t="str">
        <f>IF(user_grid_bcs="User Defined Mix", "Enter User Defined Mix EF in cell D5 on 'Background' tab","")</f>
        <v/>
      </c>
      <c r="G24" s="518" t="s">
        <v>239</v>
      </c>
      <c r="H24" s="112" t="str">
        <f>IF(COUNTA(B28:B51)=24, "No", "Yes")</f>
        <v>Yes</v>
      </c>
      <c r="I24" s="518" t="s">
        <v>726</v>
      </c>
      <c r="J24" s="112">
        <f>IF(COUNTA($B$28:$B$51)&lt;&gt;0,COUNTA($B$28:$B$51),0)</f>
        <v>0</v>
      </c>
      <c r="K24" s="518" t="s">
        <v>472</v>
      </c>
      <c r="L24" s="517"/>
      <c r="M24" s="117"/>
      <c r="N24" s="117"/>
      <c r="O24" s="318"/>
      <c r="P24" s="318"/>
      <c r="Q24" s="909"/>
      <c r="R24" s="909"/>
      <c r="S24" s="909"/>
      <c r="T24" s="909"/>
      <c r="U24" s="909"/>
      <c r="V24" s="319"/>
      <c r="AB24" s="113"/>
      <c r="AC24" s="113"/>
      <c r="AD24" s="104"/>
      <c r="AE24" s="104"/>
      <c r="AF24" s="114"/>
      <c r="AG24" s="104"/>
      <c r="AH24" s="519" t="s">
        <v>240</v>
      </c>
      <c r="AI24" s="520"/>
      <c r="AJ24" s="101"/>
      <c r="AK24" s="100"/>
      <c r="AL24" s="100"/>
      <c r="AM24" s="100"/>
      <c r="AN24" s="100"/>
      <c r="AO24" s="100"/>
      <c r="AP24" s="100"/>
    </row>
    <row r="25" spans="2:42" s="100" customFormat="1" ht="51" customHeight="1" x14ac:dyDescent="0.35">
      <c r="B25" s="521"/>
      <c r="C25" s="901" t="s">
        <v>241</v>
      </c>
      <c r="D25" s="902"/>
      <c r="E25" s="901" t="s">
        <v>242</v>
      </c>
      <c r="F25" s="902"/>
      <c r="G25" s="901" t="s">
        <v>525</v>
      </c>
      <c r="H25" s="902"/>
      <c r="I25" s="901" t="s">
        <v>243</v>
      </c>
      <c r="J25" s="957"/>
      <c r="K25" s="957"/>
      <c r="L25" s="957"/>
      <c r="M25" s="957"/>
      <c r="N25" s="902"/>
      <c r="O25" s="910" t="s">
        <v>244</v>
      </c>
      <c r="P25" s="911"/>
      <c r="Q25" s="911"/>
      <c r="R25" s="911"/>
      <c r="S25" s="911"/>
      <c r="T25" s="911"/>
      <c r="U25" s="911"/>
      <c r="V25" s="911"/>
      <c r="W25" s="911"/>
      <c r="X25" s="911"/>
      <c r="Y25" s="911"/>
      <c r="Z25" s="911"/>
      <c r="AA25" s="912"/>
      <c r="AB25" s="910" t="s">
        <v>627</v>
      </c>
      <c r="AC25" s="911"/>
      <c r="AD25" s="912"/>
      <c r="AE25" s="521" t="s">
        <v>245</v>
      </c>
      <c r="AF25" s="115" t="str">
        <f>IF(user_grid_bcs="User Defined Mix", "User-Defined Electricity EF","")</f>
        <v/>
      </c>
      <c r="AG25" s="116"/>
      <c r="AH25" s="522" t="s">
        <v>600</v>
      </c>
      <c r="AI25" s="523"/>
      <c r="AJ25" s="101"/>
    </row>
    <row r="26" spans="2:42" s="118" customFormat="1" ht="114.65" customHeight="1" x14ac:dyDescent="0.4">
      <c r="B26" s="524" t="s">
        <v>246</v>
      </c>
      <c r="C26" s="525" t="s">
        <v>523</v>
      </c>
      <c r="D26" s="507" t="s">
        <v>247</v>
      </c>
      <c r="E26" s="525" t="s">
        <v>522</v>
      </c>
      <c r="F26" s="507" t="s">
        <v>248</v>
      </c>
      <c r="G26" s="525" t="s">
        <v>524</v>
      </c>
      <c r="H26" s="526" t="s">
        <v>249</v>
      </c>
      <c r="I26" s="475" t="s">
        <v>628</v>
      </c>
      <c r="J26" s="527" t="s">
        <v>629</v>
      </c>
      <c r="K26" s="527" t="s">
        <v>630</v>
      </c>
      <c r="L26" s="527" t="s">
        <v>631</v>
      </c>
      <c r="M26" s="527" t="s">
        <v>632</v>
      </c>
      <c r="N26" s="528" t="s">
        <v>633</v>
      </c>
      <c r="O26" s="525" t="s">
        <v>634</v>
      </c>
      <c r="P26" s="513" t="s">
        <v>635</v>
      </c>
      <c r="Q26" s="513" t="s">
        <v>636</v>
      </c>
      <c r="R26" s="529" t="s">
        <v>637</v>
      </c>
      <c r="S26" s="527" t="s">
        <v>638</v>
      </c>
      <c r="T26" s="527" t="s">
        <v>639</v>
      </c>
      <c r="U26" s="528" t="s">
        <v>640</v>
      </c>
      <c r="V26" s="527" t="s">
        <v>641</v>
      </c>
      <c r="W26" s="527" t="s">
        <v>642</v>
      </c>
      <c r="X26" s="527" t="s">
        <v>643</v>
      </c>
      <c r="Y26" s="530" t="s">
        <v>644</v>
      </c>
      <c r="Z26" s="527" t="s">
        <v>645</v>
      </c>
      <c r="AA26" s="531" t="s">
        <v>646</v>
      </c>
      <c r="AB26" s="489" t="s">
        <v>647</v>
      </c>
      <c r="AC26" s="527" t="s">
        <v>648</v>
      </c>
      <c r="AD26" s="507" t="s">
        <v>649</v>
      </c>
      <c r="AE26" s="531" t="s">
        <v>650</v>
      </c>
      <c r="AF26" s="524" t="str">
        <f>IF(user_grid_bcs="User Defined Mix", "2.33  
User Defined Electricity Mix","2.33 User Defined Parameters ")</f>
        <v xml:space="preserve">2.33 User Defined Parameters </v>
      </c>
      <c r="AG26" s="117"/>
      <c r="AH26" s="522" t="s">
        <v>601</v>
      </c>
      <c r="AI26" s="532"/>
      <c r="AL26" s="100"/>
      <c r="AM26" s="100"/>
      <c r="AN26" s="100"/>
      <c r="AO26" s="100"/>
      <c r="AP26" s="100"/>
    </row>
    <row r="27" spans="2:42" s="120" customFormat="1" ht="32.25" customHeight="1" x14ac:dyDescent="0.35">
      <c r="B27" s="524" t="s">
        <v>153</v>
      </c>
      <c r="C27" s="475" t="s">
        <v>708</v>
      </c>
      <c r="D27" s="533" t="s">
        <v>531</v>
      </c>
      <c r="E27" s="475" t="s">
        <v>708</v>
      </c>
      <c r="F27" s="533" t="s">
        <v>531</v>
      </c>
      <c r="G27" s="475" t="s">
        <v>708</v>
      </c>
      <c r="H27" s="533" t="s">
        <v>531</v>
      </c>
      <c r="I27" s="475" t="s">
        <v>29</v>
      </c>
      <c r="J27" s="533" t="s">
        <v>495</v>
      </c>
      <c r="K27" s="527" t="s">
        <v>495</v>
      </c>
      <c r="L27" s="527" t="s">
        <v>495</v>
      </c>
      <c r="M27" s="527" t="s">
        <v>521</v>
      </c>
      <c r="N27" s="534" t="s">
        <v>575</v>
      </c>
      <c r="O27" s="475" t="s">
        <v>496</v>
      </c>
      <c r="P27" s="527" t="s">
        <v>495</v>
      </c>
      <c r="Q27" s="527" t="s">
        <v>495</v>
      </c>
      <c r="R27" s="535" t="s">
        <v>29</v>
      </c>
      <c r="S27" s="527" t="s">
        <v>29</v>
      </c>
      <c r="T27" s="535" t="s">
        <v>521</v>
      </c>
      <c r="U27" s="534" t="s">
        <v>576</v>
      </c>
      <c r="V27" s="535" t="s">
        <v>495</v>
      </c>
      <c r="W27" s="535" t="s">
        <v>521</v>
      </c>
      <c r="X27" s="534" t="s">
        <v>577</v>
      </c>
      <c r="Y27" s="527" t="s">
        <v>709</v>
      </c>
      <c r="Z27" s="533" t="s">
        <v>531</v>
      </c>
      <c r="AA27" s="531" t="s">
        <v>495</v>
      </c>
      <c r="AB27" s="475" t="s">
        <v>495</v>
      </c>
      <c r="AC27" s="527" t="s">
        <v>29</v>
      </c>
      <c r="AD27" s="536" t="s">
        <v>29</v>
      </c>
      <c r="AE27" s="537" t="s">
        <v>45</v>
      </c>
      <c r="AF27" s="119" t="str">
        <f>IF(user_grid_bcs="User Defined Mix", "g CO2e / kWh","N/A")</f>
        <v>N/A</v>
      </c>
      <c r="AG27"/>
      <c r="AH27" s="946" t="s">
        <v>250</v>
      </c>
      <c r="AI27" s="958"/>
      <c r="AJ27" s="101"/>
      <c r="AK27" s="100"/>
      <c r="AL27" s="100"/>
      <c r="AM27" s="100"/>
      <c r="AN27" s="100"/>
      <c r="AO27" s="100"/>
      <c r="AP27" s="100"/>
    </row>
    <row r="28" spans="2:42" s="120" customFormat="1" ht="18" customHeight="1" x14ac:dyDescent="0.35">
      <c r="B28" s="457"/>
      <c r="C28" s="538"/>
      <c r="D28" s="539"/>
      <c r="E28" s="540"/>
      <c r="F28" s="541"/>
      <c r="G28" s="542"/>
      <c r="H28" s="543"/>
      <c r="I28" s="542"/>
      <c r="J28" s="544"/>
      <c r="K28" s="545"/>
      <c r="L28" s="545"/>
      <c r="M28" s="545"/>
      <c r="N28" s="546"/>
      <c r="O28" s="542"/>
      <c r="P28" s="544"/>
      <c r="Q28" s="547"/>
      <c r="R28" s="548"/>
      <c r="S28" s="547"/>
      <c r="T28" s="549"/>
      <c r="U28" s="549"/>
      <c r="V28" s="550"/>
      <c r="W28" s="551"/>
      <c r="X28" s="552"/>
      <c r="Y28" s="547"/>
      <c r="Z28" s="553"/>
      <c r="AA28" s="554"/>
      <c r="AB28" s="555"/>
      <c r="AC28" s="545"/>
      <c r="AD28" s="556"/>
      <c r="AE28" s="557"/>
      <c r="AF28" s="558" t="str">
        <f>IF(Background!AP5&lt;&gt;"",Background!AP5, "")</f>
        <v/>
      </c>
      <c r="AG28"/>
      <c r="AH28" s="956"/>
      <c r="AI28" s="959"/>
      <c r="AJ28" s="101"/>
      <c r="AK28" s="100"/>
      <c r="AL28" s="100"/>
      <c r="AM28" s="100"/>
      <c r="AN28" s="100"/>
      <c r="AO28" s="100"/>
      <c r="AP28" s="100"/>
    </row>
    <row r="29" spans="2:42" ht="18" customHeight="1" x14ac:dyDescent="0.35">
      <c r="B29" s="457"/>
      <c r="C29" s="538"/>
      <c r="D29" s="539"/>
      <c r="E29" s="540"/>
      <c r="F29" s="541"/>
      <c r="G29" s="542"/>
      <c r="H29" s="543"/>
      <c r="I29" s="542"/>
      <c r="J29" s="544"/>
      <c r="K29" s="545"/>
      <c r="L29" s="545"/>
      <c r="M29" s="545"/>
      <c r="N29" s="546"/>
      <c r="O29" s="542"/>
      <c r="P29" s="544"/>
      <c r="Q29" s="547"/>
      <c r="R29" s="548"/>
      <c r="S29" s="547"/>
      <c r="T29" s="549"/>
      <c r="U29" s="549"/>
      <c r="V29" s="550"/>
      <c r="W29" s="551"/>
      <c r="X29" s="552"/>
      <c r="Y29" s="547"/>
      <c r="Z29" s="553"/>
      <c r="AA29" s="554"/>
      <c r="AB29" s="555"/>
      <c r="AC29" s="545"/>
      <c r="AD29" s="556"/>
      <c r="AE29" s="559"/>
      <c r="AF29" s="560"/>
      <c r="AG29"/>
      <c r="AH29" s="946" t="s">
        <v>610</v>
      </c>
      <c r="AI29" s="948">
        <f>AA55*AE46*(1-AE40*Background!$D$36)*(1-IF(AI27="Boil-Off Recovery Equipped",Background!$D$39,Background!$D$40))*(1-Background!$D$41)</f>
        <v>0</v>
      </c>
      <c r="AJ29" s="101"/>
      <c r="AK29" s="100"/>
      <c r="AL29" s="100"/>
      <c r="AM29" s="100"/>
      <c r="AN29" s="100"/>
      <c r="AO29" s="100"/>
      <c r="AP29" s="100"/>
    </row>
    <row r="30" spans="2:42" ht="18" customHeight="1" thickBot="1" x14ac:dyDescent="0.4">
      <c r="B30" s="457"/>
      <c r="C30" s="538"/>
      <c r="D30" s="539"/>
      <c r="E30" s="540"/>
      <c r="F30" s="541"/>
      <c r="G30" s="542"/>
      <c r="H30" s="543"/>
      <c r="I30" s="542"/>
      <c r="J30" s="544"/>
      <c r="K30" s="545"/>
      <c r="L30" s="545"/>
      <c r="M30" s="545"/>
      <c r="N30" s="546"/>
      <c r="O30" s="542"/>
      <c r="P30" s="544"/>
      <c r="Q30" s="547"/>
      <c r="R30" s="548"/>
      <c r="S30" s="547"/>
      <c r="T30" s="549"/>
      <c r="U30" s="549"/>
      <c r="V30" s="550"/>
      <c r="W30" s="551"/>
      <c r="X30" s="552"/>
      <c r="Y30" s="547"/>
      <c r="Z30" s="553"/>
      <c r="AA30" s="554"/>
      <c r="AB30" s="555"/>
      <c r="AC30" s="545"/>
      <c r="AD30" s="556"/>
      <c r="AE30" s="960" t="s">
        <v>710</v>
      </c>
      <c r="AF30" s="447" t="str">
        <f>IF(user_grid_bcs="User Defined Mix", "","N/A")</f>
        <v>N/A</v>
      </c>
      <c r="AG30"/>
      <c r="AH30" s="947"/>
      <c r="AI30" s="949"/>
      <c r="AJ30" s="100"/>
      <c r="AK30" s="100"/>
      <c r="AL30" s="100"/>
      <c r="AM30" s="100"/>
      <c r="AN30" s="100"/>
      <c r="AO30" s="100"/>
      <c r="AP30" s="100"/>
    </row>
    <row r="31" spans="2:42" ht="18" customHeight="1" x14ac:dyDescent="0.35">
      <c r="B31" s="457"/>
      <c r="C31" s="538"/>
      <c r="D31" s="539"/>
      <c r="E31" s="540"/>
      <c r="F31" s="541"/>
      <c r="G31" s="542"/>
      <c r="H31" s="543"/>
      <c r="I31" s="542"/>
      <c r="J31" s="544"/>
      <c r="K31" s="545"/>
      <c r="L31" s="545"/>
      <c r="M31" s="545"/>
      <c r="N31" s="546"/>
      <c r="O31" s="542"/>
      <c r="P31" s="544"/>
      <c r="Q31" s="547"/>
      <c r="R31" s="548"/>
      <c r="S31" s="547"/>
      <c r="T31" s="549"/>
      <c r="U31" s="549"/>
      <c r="V31" s="550"/>
      <c r="W31" s="551"/>
      <c r="X31" s="552"/>
      <c r="Y31" s="547"/>
      <c r="Z31" s="553"/>
      <c r="AA31" s="554"/>
      <c r="AB31" s="555"/>
      <c r="AC31" s="545"/>
      <c r="AD31" s="556"/>
      <c r="AE31" s="960"/>
      <c r="AF31" s="560"/>
      <c r="AG31"/>
      <c r="AJ31" s="100"/>
      <c r="AK31" s="100"/>
      <c r="AL31" s="100"/>
      <c r="AM31" s="100"/>
      <c r="AN31" s="100"/>
      <c r="AO31" s="100"/>
      <c r="AP31" s="100"/>
    </row>
    <row r="32" spans="2:42" ht="18" customHeight="1" x14ac:dyDescent="0.35">
      <c r="B32" s="457"/>
      <c r="C32" s="538"/>
      <c r="D32" s="539"/>
      <c r="E32" s="540"/>
      <c r="F32" s="541"/>
      <c r="G32" s="542"/>
      <c r="H32" s="543"/>
      <c r="I32" s="542"/>
      <c r="J32" s="544"/>
      <c r="K32" s="545"/>
      <c r="L32" s="545"/>
      <c r="M32" s="545"/>
      <c r="N32" s="546"/>
      <c r="O32" s="542"/>
      <c r="P32" s="544"/>
      <c r="Q32" s="547"/>
      <c r="R32" s="548"/>
      <c r="S32" s="547"/>
      <c r="T32" s="549"/>
      <c r="U32" s="549"/>
      <c r="V32" s="550"/>
      <c r="W32" s="551"/>
      <c r="X32" s="552"/>
      <c r="Y32" s="547"/>
      <c r="Z32" s="553"/>
      <c r="AA32" s="554"/>
      <c r="AB32" s="555"/>
      <c r="AC32" s="545"/>
      <c r="AD32" s="556"/>
      <c r="AE32" s="960"/>
      <c r="AF32" s="562"/>
      <c r="AG32"/>
      <c r="AJ32" s="100"/>
      <c r="AK32" s="100"/>
      <c r="AL32" s="100"/>
      <c r="AM32" s="100"/>
      <c r="AN32" s="100"/>
      <c r="AO32" s="100"/>
      <c r="AP32" s="100"/>
    </row>
    <row r="33" spans="2:42" ht="18" customHeight="1" x14ac:dyDescent="0.35">
      <c r="B33" s="457"/>
      <c r="C33" s="538"/>
      <c r="D33" s="539"/>
      <c r="E33" s="540"/>
      <c r="F33" s="541"/>
      <c r="G33" s="542"/>
      <c r="H33" s="543"/>
      <c r="I33" s="542"/>
      <c r="J33" s="544"/>
      <c r="K33" s="545"/>
      <c r="L33" s="545"/>
      <c r="M33" s="545"/>
      <c r="N33" s="546"/>
      <c r="O33" s="542"/>
      <c r="P33" s="544"/>
      <c r="Q33" s="547"/>
      <c r="R33" s="548"/>
      <c r="S33" s="547"/>
      <c r="T33" s="549"/>
      <c r="U33" s="549"/>
      <c r="V33" s="550"/>
      <c r="W33" s="551"/>
      <c r="X33" s="552"/>
      <c r="Y33" s="547"/>
      <c r="Z33" s="553"/>
      <c r="AA33" s="554"/>
      <c r="AB33" s="555"/>
      <c r="AC33" s="545"/>
      <c r="AD33" s="556"/>
      <c r="AE33" s="561"/>
      <c r="AF33" s="945"/>
      <c r="AG33"/>
      <c r="AH33" s="100"/>
      <c r="AI33" s="100"/>
      <c r="AJ33" s="100"/>
      <c r="AK33" s="100"/>
      <c r="AL33" s="100"/>
      <c r="AM33" s="100"/>
      <c r="AN33" s="100"/>
      <c r="AO33" s="100"/>
      <c r="AP33" s="100"/>
    </row>
    <row r="34" spans="2:42" ht="18" customHeight="1" x14ac:dyDescent="0.35">
      <c r="B34" s="457"/>
      <c r="C34" s="538"/>
      <c r="D34" s="539"/>
      <c r="E34" s="540"/>
      <c r="F34" s="541"/>
      <c r="G34" s="542"/>
      <c r="H34" s="543"/>
      <c r="I34" s="542"/>
      <c r="J34" s="544"/>
      <c r="K34" s="545"/>
      <c r="L34" s="545"/>
      <c r="M34" s="545"/>
      <c r="N34" s="546"/>
      <c r="O34" s="542"/>
      <c r="P34" s="544"/>
      <c r="Q34" s="547"/>
      <c r="R34" s="548"/>
      <c r="S34" s="547"/>
      <c r="T34" s="549"/>
      <c r="U34" s="549"/>
      <c r="V34" s="550"/>
      <c r="W34" s="551"/>
      <c r="X34" s="552"/>
      <c r="Y34" s="547"/>
      <c r="Z34" s="553"/>
      <c r="AA34" s="554"/>
      <c r="AB34" s="555"/>
      <c r="AC34" s="545"/>
      <c r="AD34" s="556"/>
      <c r="AE34" s="563"/>
      <c r="AF34" s="945"/>
      <c r="AG34"/>
      <c r="AH34" s="100"/>
      <c r="AI34" s="100"/>
      <c r="AJ34" s="100"/>
      <c r="AK34" s="100"/>
      <c r="AL34" s="100"/>
      <c r="AM34" s="100"/>
      <c r="AN34" s="100"/>
      <c r="AO34" s="100"/>
      <c r="AP34" s="100"/>
    </row>
    <row r="35" spans="2:42" ht="18" customHeight="1" x14ac:dyDescent="0.35">
      <c r="B35" s="457"/>
      <c r="C35" s="538"/>
      <c r="D35" s="539"/>
      <c r="E35" s="540"/>
      <c r="F35" s="541"/>
      <c r="G35" s="542"/>
      <c r="H35" s="543"/>
      <c r="I35" s="542"/>
      <c r="J35" s="544"/>
      <c r="K35" s="545"/>
      <c r="L35" s="545"/>
      <c r="M35" s="545"/>
      <c r="N35" s="546"/>
      <c r="O35" s="542"/>
      <c r="P35" s="544"/>
      <c r="Q35" s="547"/>
      <c r="R35" s="548"/>
      <c r="S35" s="547"/>
      <c r="T35" s="549"/>
      <c r="U35" s="549"/>
      <c r="V35" s="550"/>
      <c r="W35" s="551"/>
      <c r="X35" s="552"/>
      <c r="Y35" s="547"/>
      <c r="Z35" s="553"/>
      <c r="AA35" s="554"/>
      <c r="AB35" s="555"/>
      <c r="AC35" s="545"/>
      <c r="AD35" s="556"/>
      <c r="AE35" s="564"/>
      <c r="AF35" s="945"/>
      <c r="AG35"/>
      <c r="AH35" s="100"/>
      <c r="AI35" s="100"/>
      <c r="AJ35" s="100"/>
      <c r="AK35" s="100"/>
      <c r="AL35" s="100"/>
      <c r="AM35" s="100"/>
      <c r="AN35" s="100"/>
      <c r="AO35" s="100"/>
      <c r="AP35" s="100"/>
    </row>
    <row r="36" spans="2:42" ht="18" customHeight="1" x14ac:dyDescent="0.35">
      <c r="B36" s="457"/>
      <c r="C36" s="538"/>
      <c r="D36" s="539"/>
      <c r="E36" s="540"/>
      <c r="F36" s="541"/>
      <c r="G36" s="542"/>
      <c r="H36" s="543"/>
      <c r="I36" s="542"/>
      <c r="J36" s="544"/>
      <c r="K36" s="545"/>
      <c r="L36" s="545"/>
      <c r="M36" s="545"/>
      <c r="N36" s="546"/>
      <c r="O36" s="542"/>
      <c r="P36" s="544"/>
      <c r="Q36" s="547"/>
      <c r="R36" s="548"/>
      <c r="S36" s="547"/>
      <c r="T36" s="549"/>
      <c r="U36" s="549"/>
      <c r="V36" s="550"/>
      <c r="W36" s="551"/>
      <c r="X36" s="552"/>
      <c r="Y36" s="547"/>
      <c r="Z36" s="553"/>
      <c r="AA36" s="554"/>
      <c r="AB36" s="555"/>
      <c r="AC36" s="545"/>
      <c r="AD36" s="556"/>
      <c r="AE36" s="950" t="s">
        <v>711</v>
      </c>
      <c r="AF36" s="945"/>
      <c r="AG36"/>
      <c r="AH36" s="100"/>
      <c r="AI36" s="100"/>
      <c r="AJ36" s="100"/>
      <c r="AK36" s="100"/>
      <c r="AL36" s="100"/>
      <c r="AM36" s="100"/>
      <c r="AN36" s="100"/>
      <c r="AO36" s="100"/>
      <c r="AP36" s="100"/>
    </row>
    <row r="37" spans="2:42" ht="18" customHeight="1" x14ac:dyDescent="0.35">
      <c r="B37" s="457"/>
      <c r="C37" s="538"/>
      <c r="D37" s="539"/>
      <c r="E37" s="540"/>
      <c r="F37" s="541"/>
      <c r="G37" s="542"/>
      <c r="H37" s="543"/>
      <c r="I37" s="542"/>
      <c r="J37" s="544"/>
      <c r="K37" s="545"/>
      <c r="L37" s="545"/>
      <c r="M37" s="545"/>
      <c r="N37" s="546"/>
      <c r="O37" s="542"/>
      <c r="P37" s="544"/>
      <c r="Q37" s="547"/>
      <c r="R37" s="548"/>
      <c r="S37" s="547"/>
      <c r="T37" s="549"/>
      <c r="U37" s="549"/>
      <c r="V37" s="550"/>
      <c r="W37" s="551"/>
      <c r="X37" s="552"/>
      <c r="Y37" s="547"/>
      <c r="Z37" s="553"/>
      <c r="AA37" s="554"/>
      <c r="AB37" s="555"/>
      <c r="AC37" s="545"/>
      <c r="AD37" s="556"/>
      <c r="AE37" s="951"/>
      <c r="AF37" s="945"/>
      <c r="AG37"/>
      <c r="AH37" s="100"/>
      <c r="AI37" s="100"/>
      <c r="AJ37" s="100"/>
      <c r="AK37" s="100"/>
      <c r="AL37" s="100"/>
      <c r="AM37" s="100"/>
      <c r="AN37" s="100"/>
      <c r="AO37" s="100"/>
      <c r="AP37" s="100"/>
    </row>
    <row r="38" spans="2:42" ht="18" customHeight="1" x14ac:dyDescent="0.35">
      <c r="B38" s="457"/>
      <c r="C38" s="538"/>
      <c r="D38" s="539"/>
      <c r="E38" s="540"/>
      <c r="F38" s="541"/>
      <c r="G38" s="542"/>
      <c r="H38" s="543"/>
      <c r="I38" s="542"/>
      <c r="J38" s="544"/>
      <c r="K38" s="545"/>
      <c r="L38" s="545"/>
      <c r="M38" s="545"/>
      <c r="N38" s="546"/>
      <c r="O38" s="542"/>
      <c r="P38" s="544"/>
      <c r="Q38" s="547"/>
      <c r="R38" s="548"/>
      <c r="S38" s="547"/>
      <c r="T38" s="549"/>
      <c r="U38" s="549"/>
      <c r="V38" s="550"/>
      <c r="W38" s="551"/>
      <c r="X38" s="552"/>
      <c r="Y38" s="547"/>
      <c r="Z38" s="553"/>
      <c r="AA38" s="554"/>
      <c r="AB38" s="555"/>
      <c r="AC38" s="545"/>
      <c r="AD38" s="556"/>
      <c r="AE38" s="951"/>
      <c r="AF38" s="945"/>
      <c r="AG38"/>
      <c r="AH38" s="100"/>
      <c r="AI38" s="100"/>
      <c r="AJ38" s="100"/>
      <c r="AK38" s="100"/>
      <c r="AL38" s="100"/>
      <c r="AM38" s="100"/>
      <c r="AN38" s="100"/>
      <c r="AO38" s="100"/>
      <c r="AP38" s="100"/>
    </row>
    <row r="39" spans="2:42" ht="18" customHeight="1" x14ac:dyDescent="0.35">
      <c r="B39" s="457"/>
      <c r="C39" s="538"/>
      <c r="D39" s="539"/>
      <c r="E39" s="540"/>
      <c r="F39" s="541"/>
      <c r="G39" s="542"/>
      <c r="H39" s="543"/>
      <c r="I39" s="542"/>
      <c r="J39" s="544"/>
      <c r="K39" s="545"/>
      <c r="L39" s="545"/>
      <c r="M39" s="545"/>
      <c r="N39" s="546"/>
      <c r="O39" s="542"/>
      <c r="P39" s="544"/>
      <c r="Q39" s="547"/>
      <c r="R39" s="548"/>
      <c r="S39" s="547"/>
      <c r="T39" s="549"/>
      <c r="U39" s="549"/>
      <c r="V39" s="550"/>
      <c r="W39" s="551"/>
      <c r="X39" s="552"/>
      <c r="Y39" s="547"/>
      <c r="Z39" s="553"/>
      <c r="AA39" s="554"/>
      <c r="AB39" s="555"/>
      <c r="AC39" s="545"/>
      <c r="AD39" s="556"/>
      <c r="AE39" s="951"/>
      <c r="AF39" s="562"/>
      <c r="AG39"/>
      <c r="AI39" s="100"/>
      <c r="AJ39" s="100"/>
      <c r="AK39" s="100"/>
      <c r="AL39" s="100"/>
      <c r="AM39" s="100"/>
      <c r="AN39" s="100"/>
      <c r="AO39" s="100"/>
      <c r="AP39" s="100"/>
    </row>
    <row r="40" spans="2:42" ht="18" customHeight="1" x14ac:dyDescent="0.35">
      <c r="B40" s="457"/>
      <c r="C40" s="538"/>
      <c r="D40" s="539"/>
      <c r="E40" s="540"/>
      <c r="F40" s="541"/>
      <c r="G40" s="542"/>
      <c r="H40" s="543"/>
      <c r="I40" s="542"/>
      <c r="J40" s="544"/>
      <c r="K40" s="545"/>
      <c r="L40" s="545"/>
      <c r="M40" s="545"/>
      <c r="N40" s="546"/>
      <c r="O40" s="542"/>
      <c r="P40" s="544"/>
      <c r="Q40" s="547"/>
      <c r="R40" s="548"/>
      <c r="S40" s="547"/>
      <c r="T40" s="549"/>
      <c r="U40" s="549"/>
      <c r="V40" s="550"/>
      <c r="W40" s="551"/>
      <c r="X40" s="552"/>
      <c r="Y40" s="547"/>
      <c r="Z40" s="553"/>
      <c r="AA40" s="554"/>
      <c r="AB40" s="555"/>
      <c r="AC40" s="545"/>
      <c r="AD40" s="556"/>
      <c r="AE40" s="565"/>
      <c r="AF40" s="566"/>
      <c r="AG40"/>
      <c r="AH40" s="100"/>
      <c r="AI40" s="100"/>
      <c r="AJ40" s="100"/>
      <c r="AK40" s="100"/>
      <c r="AL40" s="100"/>
      <c r="AM40" s="100"/>
      <c r="AN40" s="100"/>
      <c r="AO40" s="100"/>
      <c r="AP40" s="100"/>
    </row>
    <row r="41" spans="2:42" ht="18" customHeight="1" x14ac:dyDescent="0.35">
      <c r="B41" s="457"/>
      <c r="C41" s="538"/>
      <c r="D41" s="539"/>
      <c r="E41" s="540"/>
      <c r="F41" s="541"/>
      <c r="G41" s="542"/>
      <c r="H41" s="543"/>
      <c r="I41" s="542"/>
      <c r="J41" s="544"/>
      <c r="K41" s="545"/>
      <c r="L41" s="545"/>
      <c r="M41" s="545"/>
      <c r="N41" s="546"/>
      <c r="O41" s="542"/>
      <c r="P41" s="544"/>
      <c r="Q41" s="547"/>
      <c r="R41" s="548"/>
      <c r="S41" s="547"/>
      <c r="T41" s="549"/>
      <c r="U41" s="549"/>
      <c r="V41" s="550"/>
      <c r="W41" s="551"/>
      <c r="X41" s="552"/>
      <c r="Y41" s="547"/>
      <c r="Z41" s="553"/>
      <c r="AA41" s="554"/>
      <c r="AB41" s="555"/>
      <c r="AC41" s="545"/>
      <c r="AD41" s="556"/>
      <c r="AE41" s="559"/>
      <c r="AF41" s="566"/>
      <c r="AG41"/>
      <c r="AH41" s="100"/>
      <c r="AI41" s="100"/>
      <c r="AJ41" s="100"/>
      <c r="AK41" s="100"/>
      <c r="AL41" s="100"/>
      <c r="AM41" s="100"/>
      <c r="AN41" s="100"/>
      <c r="AO41" s="100"/>
      <c r="AP41" s="100"/>
    </row>
    <row r="42" spans="2:42" ht="18" customHeight="1" x14ac:dyDescent="0.35">
      <c r="B42" s="457"/>
      <c r="C42" s="538"/>
      <c r="D42" s="539"/>
      <c r="E42" s="540"/>
      <c r="F42" s="541"/>
      <c r="G42" s="542"/>
      <c r="H42" s="543"/>
      <c r="I42" s="542"/>
      <c r="J42" s="544"/>
      <c r="K42" s="545"/>
      <c r="L42" s="545"/>
      <c r="M42" s="545"/>
      <c r="N42" s="546"/>
      <c r="O42" s="542"/>
      <c r="P42" s="544"/>
      <c r="Q42" s="547"/>
      <c r="R42" s="548"/>
      <c r="S42" s="547"/>
      <c r="T42" s="549"/>
      <c r="U42" s="549"/>
      <c r="V42" s="550"/>
      <c r="W42" s="551"/>
      <c r="X42" s="552"/>
      <c r="Y42" s="547"/>
      <c r="Z42" s="553"/>
      <c r="AA42" s="554"/>
      <c r="AB42" s="555"/>
      <c r="AC42" s="545"/>
      <c r="AD42" s="556"/>
      <c r="AE42" s="950" t="s">
        <v>712</v>
      </c>
      <c r="AF42" s="566"/>
      <c r="AG42"/>
      <c r="AH42" s="100"/>
      <c r="AI42" s="100"/>
      <c r="AJ42" s="100"/>
      <c r="AK42" s="100"/>
      <c r="AL42" s="100"/>
      <c r="AM42" s="100"/>
      <c r="AN42" s="100"/>
      <c r="AO42" s="100"/>
      <c r="AP42" s="100"/>
    </row>
    <row r="43" spans="2:42" ht="18" customHeight="1" x14ac:dyDescent="0.35">
      <c r="B43" s="457"/>
      <c r="C43" s="538"/>
      <c r="D43" s="539"/>
      <c r="E43" s="540"/>
      <c r="F43" s="541"/>
      <c r="G43" s="542"/>
      <c r="H43" s="543"/>
      <c r="I43" s="542"/>
      <c r="J43" s="544"/>
      <c r="K43" s="545"/>
      <c r="L43" s="545"/>
      <c r="M43" s="545"/>
      <c r="N43" s="546"/>
      <c r="O43" s="542"/>
      <c r="P43" s="544"/>
      <c r="Q43" s="547"/>
      <c r="R43" s="548"/>
      <c r="S43" s="547"/>
      <c r="T43" s="549"/>
      <c r="U43" s="549"/>
      <c r="V43" s="550"/>
      <c r="W43" s="551"/>
      <c r="X43" s="552"/>
      <c r="Y43" s="547"/>
      <c r="Z43" s="553"/>
      <c r="AA43" s="554"/>
      <c r="AB43" s="555"/>
      <c r="AC43" s="545"/>
      <c r="AD43" s="556"/>
      <c r="AE43" s="951"/>
      <c r="AF43" s="566"/>
      <c r="AG43"/>
      <c r="AH43" s="100"/>
      <c r="AI43" s="100"/>
      <c r="AJ43" s="100"/>
      <c r="AK43" s="100"/>
      <c r="AL43" s="100"/>
      <c r="AM43" s="100"/>
      <c r="AN43" s="100"/>
      <c r="AO43" s="100"/>
      <c r="AP43" s="100"/>
    </row>
    <row r="44" spans="2:42" ht="18" customHeight="1" x14ac:dyDescent="0.35">
      <c r="B44" s="457"/>
      <c r="C44" s="538"/>
      <c r="D44" s="539"/>
      <c r="E44" s="540"/>
      <c r="F44" s="541"/>
      <c r="G44" s="542"/>
      <c r="H44" s="543"/>
      <c r="I44" s="542"/>
      <c r="J44" s="544"/>
      <c r="K44" s="545"/>
      <c r="L44" s="545"/>
      <c r="M44" s="545"/>
      <c r="N44" s="546"/>
      <c r="O44" s="542"/>
      <c r="P44" s="544"/>
      <c r="Q44" s="547"/>
      <c r="R44" s="548"/>
      <c r="S44" s="547"/>
      <c r="T44" s="549"/>
      <c r="U44" s="549"/>
      <c r="V44" s="550"/>
      <c r="W44" s="551"/>
      <c r="X44" s="552"/>
      <c r="Y44" s="547"/>
      <c r="Z44" s="553"/>
      <c r="AA44" s="554"/>
      <c r="AB44" s="555"/>
      <c r="AC44" s="545"/>
      <c r="AD44" s="556"/>
      <c r="AE44" s="951"/>
      <c r="AF44" s="566"/>
      <c r="AG44"/>
      <c r="AH44" s="100"/>
      <c r="AI44" s="100"/>
      <c r="AJ44" s="100"/>
      <c r="AK44" s="100"/>
      <c r="AL44" s="100"/>
      <c r="AM44" s="100"/>
      <c r="AN44" s="100"/>
      <c r="AO44" s="100"/>
      <c r="AP44" s="100"/>
    </row>
    <row r="45" spans="2:42" ht="18" customHeight="1" x14ac:dyDescent="0.35">
      <c r="B45" s="457"/>
      <c r="C45" s="538"/>
      <c r="D45" s="539"/>
      <c r="E45" s="540"/>
      <c r="F45" s="541"/>
      <c r="G45" s="542"/>
      <c r="H45" s="543"/>
      <c r="I45" s="542"/>
      <c r="J45" s="544"/>
      <c r="K45" s="545"/>
      <c r="L45" s="545"/>
      <c r="M45" s="545"/>
      <c r="N45" s="546"/>
      <c r="O45" s="542"/>
      <c r="P45" s="544"/>
      <c r="Q45" s="547"/>
      <c r="R45" s="548"/>
      <c r="S45" s="547"/>
      <c r="T45" s="549"/>
      <c r="U45" s="549"/>
      <c r="V45" s="550"/>
      <c r="W45" s="551"/>
      <c r="X45" s="552"/>
      <c r="Y45" s="547"/>
      <c r="Z45" s="553"/>
      <c r="AA45" s="554"/>
      <c r="AB45" s="555"/>
      <c r="AC45" s="545"/>
      <c r="AD45" s="556"/>
      <c r="AE45" s="951"/>
      <c r="AF45" s="566"/>
      <c r="AG45"/>
      <c r="AH45" s="100"/>
      <c r="AI45" s="100"/>
      <c r="AJ45" s="100"/>
      <c r="AK45" s="100"/>
      <c r="AL45" s="100"/>
      <c r="AM45" s="100"/>
      <c r="AN45" s="100"/>
      <c r="AO45" s="100"/>
      <c r="AP45" s="100"/>
    </row>
    <row r="46" spans="2:42" ht="18" customHeight="1" x14ac:dyDescent="0.35">
      <c r="B46" s="457"/>
      <c r="C46" s="538"/>
      <c r="D46" s="539"/>
      <c r="E46" s="540"/>
      <c r="F46" s="541"/>
      <c r="G46" s="542"/>
      <c r="H46" s="543"/>
      <c r="I46" s="542"/>
      <c r="J46" s="544"/>
      <c r="K46" s="545"/>
      <c r="L46" s="545"/>
      <c r="M46" s="545"/>
      <c r="N46" s="546"/>
      <c r="O46" s="542"/>
      <c r="P46" s="544"/>
      <c r="Q46" s="547"/>
      <c r="R46" s="548"/>
      <c r="S46" s="547"/>
      <c r="T46" s="549"/>
      <c r="U46" s="549"/>
      <c r="V46" s="550"/>
      <c r="W46" s="551"/>
      <c r="X46" s="552"/>
      <c r="Y46" s="547"/>
      <c r="Z46" s="553"/>
      <c r="AA46" s="554"/>
      <c r="AB46" s="555"/>
      <c r="AC46" s="545"/>
      <c r="AD46" s="556"/>
      <c r="AE46" s="567"/>
      <c r="AF46" s="566"/>
      <c r="AG46"/>
      <c r="AH46" s="100"/>
      <c r="AI46" s="100"/>
      <c r="AJ46" s="100"/>
      <c r="AK46" s="100"/>
      <c r="AL46" s="100"/>
      <c r="AM46" s="100"/>
      <c r="AN46" s="100"/>
      <c r="AO46" s="100"/>
      <c r="AP46" s="100"/>
    </row>
    <row r="47" spans="2:42" ht="18" customHeight="1" x14ac:dyDescent="0.35">
      <c r="B47" s="457"/>
      <c r="C47" s="538"/>
      <c r="D47" s="539"/>
      <c r="E47" s="540"/>
      <c r="F47" s="541"/>
      <c r="G47" s="542"/>
      <c r="H47" s="543"/>
      <c r="I47" s="542"/>
      <c r="J47" s="544"/>
      <c r="K47" s="545"/>
      <c r="L47" s="545"/>
      <c r="M47" s="545"/>
      <c r="N47" s="546"/>
      <c r="O47" s="542"/>
      <c r="P47" s="544"/>
      <c r="Q47" s="547"/>
      <c r="R47" s="548"/>
      <c r="S47" s="547"/>
      <c r="T47" s="549"/>
      <c r="U47" s="549"/>
      <c r="V47" s="550"/>
      <c r="W47" s="551"/>
      <c r="X47" s="552"/>
      <c r="Y47" s="547"/>
      <c r="Z47" s="553"/>
      <c r="AA47" s="554"/>
      <c r="AB47" s="555"/>
      <c r="AC47" s="545"/>
      <c r="AD47" s="556"/>
      <c r="AE47" s="559"/>
      <c r="AF47" s="566"/>
      <c r="AG47"/>
      <c r="AH47" s="100"/>
      <c r="AI47" s="100"/>
      <c r="AJ47" s="100"/>
      <c r="AK47" s="100"/>
      <c r="AL47" s="100"/>
      <c r="AM47" s="100"/>
      <c r="AN47" s="100"/>
      <c r="AO47" s="100"/>
      <c r="AP47" s="100"/>
    </row>
    <row r="48" spans="2:42" ht="18" customHeight="1" x14ac:dyDescent="0.35">
      <c r="B48" s="457"/>
      <c r="C48" s="538"/>
      <c r="D48" s="539"/>
      <c r="E48" s="540"/>
      <c r="F48" s="541"/>
      <c r="G48" s="542"/>
      <c r="H48" s="543"/>
      <c r="I48" s="542"/>
      <c r="J48" s="544"/>
      <c r="K48" s="545"/>
      <c r="L48" s="545"/>
      <c r="M48" s="545"/>
      <c r="N48" s="546"/>
      <c r="O48" s="542"/>
      <c r="P48" s="544"/>
      <c r="Q48" s="547"/>
      <c r="R48" s="548"/>
      <c r="S48" s="547"/>
      <c r="T48" s="549"/>
      <c r="U48" s="549"/>
      <c r="V48" s="550"/>
      <c r="W48" s="551"/>
      <c r="X48" s="552"/>
      <c r="Y48" s="547"/>
      <c r="Z48" s="553"/>
      <c r="AA48" s="554"/>
      <c r="AB48" s="555"/>
      <c r="AC48" s="545"/>
      <c r="AD48" s="556"/>
      <c r="AE48" s="559"/>
      <c r="AF48" s="566"/>
      <c r="AG48"/>
      <c r="AH48" s="100"/>
      <c r="AI48" s="100"/>
      <c r="AJ48" s="100"/>
      <c r="AK48" s="100"/>
      <c r="AL48" s="100"/>
      <c r="AM48" s="100"/>
      <c r="AN48" s="100"/>
      <c r="AO48" s="100"/>
      <c r="AP48" s="100"/>
    </row>
    <row r="49" spans="2:42" ht="18" customHeight="1" x14ac:dyDescent="0.35">
      <c r="B49" s="457"/>
      <c r="C49" s="538"/>
      <c r="D49" s="539"/>
      <c r="E49" s="540"/>
      <c r="F49" s="541"/>
      <c r="G49" s="542"/>
      <c r="H49" s="543"/>
      <c r="I49" s="542"/>
      <c r="J49" s="544"/>
      <c r="K49" s="545"/>
      <c r="L49" s="545"/>
      <c r="M49" s="545"/>
      <c r="N49" s="546"/>
      <c r="O49" s="542"/>
      <c r="P49" s="544"/>
      <c r="Q49" s="547"/>
      <c r="R49" s="548"/>
      <c r="S49" s="547"/>
      <c r="T49" s="549"/>
      <c r="U49" s="549"/>
      <c r="V49" s="550"/>
      <c r="W49" s="551"/>
      <c r="X49" s="552"/>
      <c r="Y49" s="547"/>
      <c r="Z49" s="553"/>
      <c r="AA49" s="554"/>
      <c r="AB49" s="555"/>
      <c r="AC49" s="545"/>
      <c r="AD49" s="556"/>
      <c r="AE49" s="559"/>
      <c r="AF49" s="566"/>
      <c r="AG49"/>
      <c r="AH49" s="100"/>
      <c r="AI49" s="100"/>
      <c r="AJ49" s="100"/>
      <c r="AK49" s="100"/>
      <c r="AL49" s="100"/>
      <c r="AM49" s="100"/>
      <c r="AN49" s="100"/>
      <c r="AO49" s="100"/>
      <c r="AP49" s="100"/>
    </row>
    <row r="50" spans="2:42" ht="18" customHeight="1" x14ac:dyDescent="0.35">
      <c r="B50" s="457"/>
      <c r="C50" s="538"/>
      <c r="D50" s="539"/>
      <c r="E50" s="540"/>
      <c r="F50" s="541"/>
      <c r="G50" s="542"/>
      <c r="H50" s="543"/>
      <c r="I50" s="542"/>
      <c r="J50" s="544"/>
      <c r="K50" s="545"/>
      <c r="L50" s="545"/>
      <c r="M50" s="545"/>
      <c r="N50" s="546"/>
      <c r="O50" s="542"/>
      <c r="P50" s="544"/>
      <c r="Q50" s="547"/>
      <c r="R50" s="548"/>
      <c r="S50" s="547"/>
      <c r="T50" s="549"/>
      <c r="U50" s="549"/>
      <c r="V50" s="550"/>
      <c r="W50" s="551"/>
      <c r="X50" s="552"/>
      <c r="Y50" s="547"/>
      <c r="Z50" s="553"/>
      <c r="AA50" s="554"/>
      <c r="AB50" s="555"/>
      <c r="AC50" s="545"/>
      <c r="AD50" s="556"/>
      <c r="AE50" s="913" t="s">
        <v>651</v>
      </c>
      <c r="AF50" s="914"/>
      <c r="AG50" s="100"/>
      <c r="AH50" s="100"/>
      <c r="AI50" s="100"/>
      <c r="AJ50" s="100"/>
      <c r="AK50" s="100"/>
      <c r="AL50" s="100"/>
      <c r="AM50" s="100"/>
      <c r="AN50" s="100"/>
      <c r="AO50" s="100"/>
      <c r="AP50" s="100"/>
    </row>
    <row r="51" spans="2:42" ht="18" customHeight="1" thickBot="1" x14ac:dyDescent="0.4">
      <c r="B51" s="457"/>
      <c r="C51" s="538"/>
      <c r="D51" s="539"/>
      <c r="E51" s="540"/>
      <c r="F51" s="541"/>
      <c r="G51" s="542"/>
      <c r="H51" s="543"/>
      <c r="I51" s="542"/>
      <c r="J51" s="544"/>
      <c r="K51" s="545"/>
      <c r="L51" s="545"/>
      <c r="M51" s="545"/>
      <c r="N51" s="546"/>
      <c r="O51" s="542"/>
      <c r="P51" s="544"/>
      <c r="Q51" s="547"/>
      <c r="R51" s="548"/>
      <c r="S51" s="547"/>
      <c r="T51" s="549"/>
      <c r="U51" s="549"/>
      <c r="V51" s="550"/>
      <c r="W51" s="551"/>
      <c r="X51" s="552"/>
      <c r="Y51" s="547"/>
      <c r="Z51" s="553"/>
      <c r="AA51" s="554"/>
      <c r="AB51" s="568"/>
      <c r="AC51" s="569"/>
      <c r="AD51" s="570"/>
      <c r="AE51" s="963">
        <f>MAX(IFERROR(1-((J55+K55+P55+Q55+Z55+AA55+AB55)/H55),0), IF(X52&gt;0, 0.0235, 0.02))</f>
        <v>0.02</v>
      </c>
      <c r="AF51" s="964"/>
      <c r="AG51" s="100"/>
      <c r="AH51" s="100"/>
      <c r="AI51" s="100"/>
      <c r="AJ51" s="100"/>
      <c r="AK51" s="100"/>
      <c r="AL51" s="100"/>
      <c r="AM51" s="100"/>
      <c r="AN51" s="100"/>
      <c r="AO51" s="100"/>
      <c r="AP51" s="100"/>
    </row>
    <row r="52" spans="2:42" ht="20.149999999999999" customHeight="1" thickTop="1" x14ac:dyDescent="0.35">
      <c r="B52" s="571" t="s">
        <v>251</v>
      </c>
      <c r="C52" s="121">
        <f>SUM(C28:C51)</f>
        <v>0</v>
      </c>
      <c r="D52" s="293">
        <f>IFERROR(SUMPRODUCT(D28:D51,C28:C51)/C52,0)</f>
        <v>0</v>
      </c>
      <c r="E52" s="294">
        <f>SUM(E28:E51)</f>
        <v>0</v>
      </c>
      <c r="F52" s="295">
        <f>IFERROR(SUMPRODUCT(F28:F51,E28:E51)/E52,0)</f>
        <v>0</v>
      </c>
      <c r="G52" s="121">
        <f>SUM(G28:G51)</f>
        <v>0</v>
      </c>
      <c r="H52" s="293">
        <f>IFERROR(SUMPRODUCT(H28:H51,G28:G51)/G52,0)</f>
        <v>0</v>
      </c>
      <c r="I52" s="121">
        <f t="shared" ref="I52:Y52" si="0">SUM(I28:I51)</f>
        <v>0</v>
      </c>
      <c r="J52" s="296">
        <f>SUM(J28:J51)</f>
        <v>0</v>
      </c>
      <c r="K52" s="297">
        <f>SUM(K28:K51)</f>
        <v>0</v>
      </c>
      <c r="L52" s="297">
        <f t="shared" si="0"/>
        <v>0</v>
      </c>
      <c r="M52" s="296">
        <f t="shared" si="0"/>
        <v>0</v>
      </c>
      <c r="N52" s="296">
        <f t="shared" si="0"/>
        <v>0</v>
      </c>
      <c r="O52" s="121">
        <f t="shared" si="0"/>
        <v>0</v>
      </c>
      <c r="P52" s="297">
        <f t="shared" si="0"/>
        <v>0</v>
      </c>
      <c r="Q52" s="297">
        <f t="shared" si="0"/>
        <v>0</v>
      </c>
      <c r="R52" s="297">
        <f t="shared" si="0"/>
        <v>0</v>
      </c>
      <c r="S52" s="297">
        <f t="shared" si="0"/>
        <v>0</v>
      </c>
      <c r="T52" s="297">
        <f t="shared" si="0"/>
        <v>0</v>
      </c>
      <c r="U52" s="297">
        <f t="shared" si="0"/>
        <v>0</v>
      </c>
      <c r="V52" s="296">
        <f t="shared" si="0"/>
        <v>0</v>
      </c>
      <c r="W52" s="297">
        <f t="shared" si="0"/>
        <v>0</v>
      </c>
      <c r="X52" s="297">
        <f t="shared" si="0"/>
        <v>0</v>
      </c>
      <c r="Y52" s="297">
        <f t="shared" si="0"/>
        <v>0</v>
      </c>
      <c r="Z52" s="298">
        <f>IFERROR(SUMPRODUCT(Z28:Z51,Y28:Y51)/Y52,0)</f>
        <v>0</v>
      </c>
      <c r="AA52" s="313">
        <f>SUM(AA28:AA51)</f>
        <v>0</v>
      </c>
      <c r="AB52" s="121">
        <f>SUM(AB28:AB51)</f>
        <v>0</v>
      </c>
      <c r="AC52" s="297">
        <f>SUM(AC28:AC51)</f>
        <v>0</v>
      </c>
      <c r="AD52" s="297">
        <f>SUM(AD28:AD51)</f>
        <v>0</v>
      </c>
      <c r="AE52" s="893" t="s">
        <v>652</v>
      </c>
      <c r="AF52" s="894"/>
      <c r="AG52" s="100"/>
      <c r="AH52" s="100"/>
      <c r="AI52" s="100"/>
      <c r="AJ52" s="100"/>
      <c r="AK52" s="100"/>
      <c r="AL52" s="100"/>
      <c r="AM52" s="100"/>
      <c r="AN52" s="100"/>
      <c r="AO52" s="100"/>
      <c r="AP52" s="100"/>
    </row>
    <row r="53" spans="2:42" ht="20.149999999999999" customHeight="1" x14ac:dyDescent="0.35">
      <c r="B53" s="572" t="s">
        <v>540</v>
      </c>
      <c r="C53" s="122"/>
      <c r="D53" s="123">
        <f>C52*D52</f>
        <v>0</v>
      </c>
      <c r="E53" s="124"/>
      <c r="F53" s="320">
        <f>E52*F52</f>
        <v>0</v>
      </c>
      <c r="G53" s="124"/>
      <c r="H53" s="125">
        <f>G52*H52</f>
        <v>0</v>
      </c>
      <c r="I53" s="267"/>
      <c r="J53" s="126"/>
      <c r="K53" s="126"/>
      <c r="M53" s="130"/>
      <c r="N53" s="257"/>
      <c r="O53" s="127"/>
      <c r="P53" s="266"/>
      <c r="Q53" s="128"/>
      <c r="R53" s="129"/>
      <c r="S53" s="130"/>
      <c r="T53" s="131"/>
      <c r="U53" s="131"/>
      <c r="V53" s="131"/>
      <c r="W53" s="130"/>
      <c r="X53" s="131"/>
      <c r="Y53" s="131"/>
      <c r="Z53" s="299">
        <f>Y52*Z52</f>
        <v>0</v>
      </c>
      <c r="AA53" s="336">
        <f>AA52*mmBtu2Btu/HHV_CH4</f>
        <v>0</v>
      </c>
      <c r="AB53" s="124"/>
      <c r="AC53" s="133"/>
      <c r="AD53" s="132"/>
      <c r="AE53" s="895"/>
      <c r="AF53" s="896"/>
      <c r="AG53" s="100"/>
      <c r="AH53" s="100"/>
      <c r="AI53" s="100"/>
      <c r="AJ53" s="100"/>
      <c r="AK53" s="100"/>
      <c r="AL53" s="100"/>
      <c r="AM53" s="100"/>
      <c r="AN53" s="100"/>
      <c r="AO53" s="100"/>
      <c r="AP53" s="100"/>
    </row>
    <row r="54" spans="2:42" s="100" customFormat="1" ht="20.149999999999999" customHeight="1" thickBot="1" x14ac:dyDescent="0.4">
      <c r="B54" s="573" t="s">
        <v>495</v>
      </c>
      <c r="C54" s="134"/>
      <c r="D54" s="300">
        <f>D53*HHV_CH4*Btu2mmBtu</f>
        <v>0</v>
      </c>
      <c r="E54" s="135"/>
      <c r="F54" s="300">
        <f>F53*HHV_CH4*Btu2mmBtu</f>
        <v>0</v>
      </c>
      <c r="G54" s="135"/>
      <c r="H54" s="300">
        <f>H53*HHV_CH4*Btu2mmBtu</f>
        <v>0</v>
      </c>
      <c r="I54" s="136"/>
      <c r="J54" s="303">
        <f>J52</f>
        <v>0</v>
      </c>
      <c r="K54" s="303">
        <f>K52</f>
        <v>0</v>
      </c>
      <c r="L54" s="303">
        <f>L52</f>
        <v>0</v>
      </c>
      <c r="M54" s="269"/>
      <c r="N54" s="257"/>
      <c r="O54" s="331">
        <f>O52</f>
        <v>0</v>
      </c>
      <c r="P54" s="138">
        <f>P52</f>
        <v>0</v>
      </c>
      <c r="Q54" s="137">
        <f>Q52</f>
        <v>0</v>
      </c>
      <c r="R54" s="137"/>
      <c r="S54" s="138"/>
      <c r="T54" s="139"/>
      <c r="U54" s="139"/>
      <c r="V54" s="140"/>
      <c r="W54" s="138"/>
      <c r="X54" s="140"/>
      <c r="Y54" s="140"/>
      <c r="Z54" s="333">
        <f>Z53*HHV_CH4*Btu2mmBtu</f>
        <v>0</v>
      </c>
      <c r="AA54" s="335">
        <f>AA52</f>
        <v>0</v>
      </c>
      <c r="AB54" s="301">
        <f>AB52</f>
        <v>0</v>
      </c>
      <c r="AC54" s="141"/>
      <c r="AD54" s="142"/>
      <c r="AE54" s="897">
        <f>AA55*(1-AE46)*(1-Background!$D$36*AE34)</f>
        <v>0</v>
      </c>
      <c r="AF54" s="898"/>
    </row>
    <row r="55" spans="2:42" s="100" customFormat="1" ht="20.149999999999999" customHeight="1" thickTop="1" x14ac:dyDescent="0.35">
      <c r="B55" s="573" t="s">
        <v>496</v>
      </c>
      <c r="C55" s="143"/>
      <c r="D55" s="300">
        <f>D53*LHV_CH4*Btu2mmBtu</f>
        <v>0</v>
      </c>
      <c r="E55" s="144"/>
      <c r="F55" s="300">
        <f>F53*LHV_CH4*Btu2mmBtu</f>
        <v>0</v>
      </c>
      <c r="G55" s="136"/>
      <c r="H55" s="300">
        <f>H53*LHV_CH4*Btu2mmBtu</f>
        <v>0</v>
      </c>
      <c r="I55" s="136"/>
      <c r="J55" s="304">
        <f>J54*LHV_CH4/HHV_CH4</f>
        <v>0</v>
      </c>
      <c r="K55" s="304">
        <f>K54*LHV_CH4/HHV_CH4</f>
        <v>0</v>
      </c>
      <c r="L55" s="303">
        <f>L54*LHV_CH4/HHV_CH4</f>
        <v>0</v>
      </c>
      <c r="M55" s="269"/>
      <c r="N55" s="145">
        <f>N52</f>
        <v>0</v>
      </c>
      <c r="O55" s="305">
        <f>O54*LHV_CH4/HHV_CH4</f>
        <v>0</v>
      </c>
      <c r="P55" s="303">
        <f>P54*LHV_CH4/HHV_CH4</f>
        <v>0</v>
      </c>
      <c r="Q55" s="303">
        <f>Q54*LHV_CH4/HHV_CH4</f>
        <v>0</v>
      </c>
      <c r="R55" s="137"/>
      <c r="S55" s="138"/>
      <c r="T55" s="139"/>
      <c r="U55" s="226">
        <f>U52</f>
        <v>0</v>
      </c>
      <c r="V55" s="140"/>
      <c r="W55" s="138"/>
      <c r="X55" s="226">
        <f>X52</f>
        <v>0</v>
      </c>
      <c r="Y55" s="140"/>
      <c r="Z55" s="333">
        <f>Z53*LHV_CH4*Btu2mmBtu</f>
        <v>0</v>
      </c>
      <c r="AA55" s="334">
        <f>AA54*LHV_CH4/HHV_CH4</f>
        <v>0</v>
      </c>
      <c r="AB55" s="302">
        <f>AB54*CContent_CH4</f>
        <v>0</v>
      </c>
      <c r="AC55" s="138"/>
      <c r="AD55" s="146"/>
      <c r="AE55" s="893" t="s">
        <v>653</v>
      </c>
      <c r="AF55" s="894"/>
    </row>
    <row r="56" spans="2:42" s="100" customFormat="1" ht="20.149999999999999" customHeight="1" x14ac:dyDescent="0.35">
      <c r="B56" s="574" t="s">
        <v>571</v>
      </c>
      <c r="C56" s="575"/>
      <c r="D56" s="576"/>
      <c r="E56" s="577"/>
      <c r="F56" s="577" t="s">
        <v>528</v>
      </c>
      <c r="G56" s="575"/>
      <c r="H56" s="576"/>
      <c r="I56" s="578" t="s">
        <v>529</v>
      </c>
      <c r="J56" s="579" t="s">
        <v>528</v>
      </c>
      <c r="K56" s="579" t="s">
        <v>528</v>
      </c>
      <c r="L56" s="579" t="s">
        <v>528</v>
      </c>
      <c r="M56" s="579" t="s">
        <v>530</v>
      </c>
      <c r="N56" s="579" t="str">
        <f>VLOOKUP(N$27,Background!$B$49:$D$55, 2, FALSE)</f>
        <v>g CO2e / MJ</v>
      </c>
      <c r="O56" s="580" t="s">
        <v>528</v>
      </c>
      <c r="P56" s="581" t="s">
        <v>528</v>
      </c>
      <c r="Q56" s="581" t="s">
        <v>528</v>
      </c>
      <c r="R56" s="577" t="s">
        <v>529</v>
      </c>
      <c r="S56" s="579" t="s">
        <v>529</v>
      </c>
      <c r="T56" s="582" t="s">
        <v>532</v>
      </c>
      <c r="U56" s="579" t="str">
        <f>VLOOKUP(U$27,Background!$B$49:$D$55, 2, FALSE)</f>
        <v>g CO2e / MJ</v>
      </c>
      <c r="V56" s="579"/>
      <c r="W56" s="579"/>
      <c r="X56" s="579" t="str">
        <f>VLOOKUP(X$27,Background!$B$49:$D$55, 2, FALSE)</f>
        <v>g CO2e / MJ</v>
      </c>
      <c r="Y56" s="577"/>
      <c r="Z56" s="577" t="s">
        <v>528</v>
      </c>
      <c r="AA56" s="583"/>
      <c r="AB56" s="581"/>
      <c r="AC56" s="577"/>
      <c r="AD56" s="584"/>
      <c r="AE56" s="895"/>
      <c r="AF56" s="896"/>
    </row>
    <row r="57" spans="2:42" s="100" customFormat="1" ht="20.149999999999999" customHeight="1" thickBot="1" x14ac:dyDescent="0.4">
      <c r="B57" s="585" t="s">
        <v>572</v>
      </c>
      <c r="C57" s="321"/>
      <c r="D57" s="322"/>
      <c r="E57" s="323"/>
      <c r="F57" s="586">
        <f>Background!$H$43</f>
        <v>1191.7380510169169</v>
      </c>
      <c r="G57" s="321"/>
      <c r="H57" s="324"/>
      <c r="I57" s="587" t="e">
        <f>INDEX(grid_CIs, MATCH(user_grid_bcs, grid_names,0))</f>
        <v>#N/A</v>
      </c>
      <c r="J57" s="587">
        <f>Background!$I$43</f>
        <v>161.12730101692432</v>
      </c>
      <c r="K57" s="587">
        <f>Background!$I$43</f>
        <v>161.12730101692432</v>
      </c>
      <c r="L57" s="586">
        <f>Background!$D$50</f>
        <v>72949.532731448708</v>
      </c>
      <c r="M57" s="586">
        <f>Background!$D$49</f>
        <v>12707.328455442075</v>
      </c>
      <c r="N57" s="586">
        <f>VLOOKUP(N$27,Background!$B$49:$D$55, 3, FALSE)</f>
        <v>0</v>
      </c>
      <c r="O57" s="587">
        <f>Background!$D$50</f>
        <v>72949.532731448708</v>
      </c>
      <c r="P57" s="588">
        <f>Background!$I$43</f>
        <v>161.12730101692432</v>
      </c>
      <c r="Q57" s="587">
        <f>Background!$I$43</f>
        <v>161.12730101692432</v>
      </c>
      <c r="R57" s="588">
        <f>Background!$K$44</f>
        <v>128.83001436174456</v>
      </c>
      <c r="S57" s="586" t="e">
        <f>INDEX(grid_CIs, MATCH(user_grid_bcs,grid_names,0))</f>
        <v>#N/A</v>
      </c>
      <c r="T57" s="589">
        <f>Background!$D$49</f>
        <v>12707.328455442075</v>
      </c>
      <c r="U57" s="586">
        <f>VLOOKUP(U$27,Background!$B$49:$D$55, 3, FALSE)</f>
        <v>0</v>
      </c>
      <c r="V57" s="323"/>
      <c r="W57" s="323"/>
      <c r="X57" s="586">
        <f>VLOOKUP(X$27,Background!$B$49:$D$55, 3, FALSE)</f>
        <v>0</v>
      </c>
      <c r="Y57" s="323"/>
      <c r="Z57" s="586">
        <f>Background!$H$43</f>
        <v>1191.7380510169169</v>
      </c>
      <c r="AA57" s="325"/>
      <c r="AB57" s="326"/>
      <c r="AC57" s="327"/>
      <c r="AD57" s="325"/>
      <c r="AE57" s="897">
        <f>AE54+AI29</f>
        <v>0</v>
      </c>
      <c r="AF57" s="898"/>
    </row>
    <row r="58" spans="2:42" s="100" customFormat="1" x14ac:dyDescent="0.35">
      <c r="H58" s="147"/>
      <c r="I58" s="147"/>
      <c r="J58" s="147"/>
      <c r="K58" s="147"/>
      <c r="L58" s="148"/>
      <c r="M58" s="147"/>
      <c r="N58" s="147"/>
      <c r="O58" s="149"/>
      <c r="P58" s="149"/>
      <c r="U58" s="150"/>
      <c r="V58" s="151"/>
      <c r="AD58" s="152"/>
      <c r="AE58" s="152"/>
      <c r="AF58" s="153"/>
      <c r="AH58" s="183"/>
      <c r="AI58" s="183"/>
    </row>
    <row r="59" spans="2:42" s="161" customFormat="1" ht="15" thickBot="1" x14ac:dyDescent="0.4">
      <c r="B59" s="83"/>
      <c r="C59" s="83"/>
      <c r="D59" s="83"/>
      <c r="E59" s="83"/>
      <c r="F59" s="83"/>
      <c r="G59" s="154"/>
      <c r="H59" s="155"/>
      <c r="I59" s="155"/>
      <c r="J59" s="155"/>
      <c r="K59" s="155"/>
      <c r="L59" s="155"/>
      <c r="M59" s="155"/>
      <c r="N59" s="155"/>
      <c r="O59" s="157"/>
      <c r="P59" s="157"/>
      <c r="Q59" s="157"/>
      <c r="R59" s="157"/>
      <c r="S59" s="157"/>
      <c r="T59" s="157"/>
      <c r="U59" s="157"/>
      <c r="V59" s="157"/>
      <c r="W59" s="157"/>
      <c r="X59" s="158"/>
      <c r="Y59" s="159"/>
      <c r="Z59" s="160"/>
      <c r="AA59" s="160"/>
      <c r="AB59" s="160"/>
      <c r="AC59" s="160"/>
      <c r="AD59" s="157"/>
      <c r="AE59" s="157"/>
      <c r="AF59" s="157"/>
      <c r="AG59" s="100"/>
      <c r="AH59" s="182"/>
      <c r="AI59" s="182"/>
      <c r="AJ59" s="100"/>
      <c r="AK59" s="100"/>
      <c r="AL59" s="100"/>
      <c r="AM59" s="100"/>
      <c r="AN59" s="100"/>
      <c r="AO59" s="100"/>
      <c r="AP59" s="100"/>
    </row>
    <row r="60" spans="2:42" s="166" customFormat="1" ht="25.5" customHeight="1" thickBot="1" x14ac:dyDescent="0.35">
      <c r="B60" s="843" t="s">
        <v>253</v>
      </c>
      <c r="C60" s="844"/>
      <c r="D60" s="844"/>
      <c r="E60" s="844"/>
      <c r="F60" s="844"/>
      <c r="G60" s="845"/>
      <c r="H60" s="162"/>
      <c r="I60" s="162"/>
      <c r="J60" s="162"/>
      <c r="K60" s="162"/>
      <c r="L60" s="162"/>
      <c r="M60" s="162"/>
      <c r="N60" s="162"/>
      <c r="O60" s="162"/>
      <c r="P60" s="162"/>
      <c r="Q60" s="162"/>
      <c r="R60" s="162"/>
      <c r="S60" s="162"/>
      <c r="T60" s="162"/>
      <c r="U60" s="162"/>
      <c r="V60" s="162"/>
      <c r="W60" s="163"/>
      <c r="X60" s="163"/>
      <c r="Y60" s="164"/>
      <c r="Z60" s="165"/>
      <c r="AA60" s="165"/>
      <c r="AB60" s="165"/>
      <c r="AC60" s="165"/>
      <c r="AD60" s="163"/>
      <c r="AE60" s="100"/>
      <c r="AF60" s="100"/>
      <c r="AG60" s="100"/>
      <c r="AH60" s="182"/>
      <c r="AI60" s="182"/>
      <c r="AJ60" s="100"/>
      <c r="AK60" s="100"/>
      <c r="AL60" s="100"/>
      <c r="AM60" s="100"/>
      <c r="AN60" s="100"/>
      <c r="AO60" s="100"/>
      <c r="AP60" s="100"/>
    </row>
    <row r="61" spans="2:42" s="176" customFormat="1" ht="22.5" customHeight="1" x14ac:dyDescent="0.3">
      <c r="B61" s="167"/>
      <c r="C61" s="168"/>
      <c r="D61" s="168"/>
      <c r="E61" s="168"/>
      <c r="F61" s="169"/>
      <c r="G61" s="170"/>
      <c r="H61" s="171"/>
      <c r="I61" s="171"/>
      <c r="J61" s="171"/>
      <c r="K61" s="171"/>
      <c r="L61" s="171"/>
      <c r="M61" s="171"/>
      <c r="N61" s="171"/>
      <c r="O61" s="171"/>
      <c r="P61" s="171"/>
      <c r="Q61" s="171"/>
      <c r="R61" s="171"/>
      <c r="S61" s="171"/>
      <c r="T61" s="171"/>
      <c r="U61" s="171"/>
      <c r="V61" s="171"/>
      <c r="W61" s="171"/>
      <c r="X61" s="171"/>
      <c r="Y61" s="172"/>
      <c r="Z61" s="173"/>
      <c r="AA61" s="173"/>
      <c r="AB61" s="173"/>
      <c r="AC61" s="173"/>
      <c r="AD61" s="171"/>
      <c r="AE61" s="171"/>
      <c r="AF61" s="174"/>
      <c r="AG61" s="100"/>
      <c r="AH61" s="182"/>
      <c r="AI61" s="182"/>
      <c r="AJ61" s="4"/>
      <c r="AK61" s="175"/>
      <c r="AL61" s="166"/>
      <c r="AM61" s="166"/>
    </row>
    <row r="62" spans="2:42" s="176" customFormat="1" ht="31" x14ac:dyDescent="0.35">
      <c r="B62" s="590" t="s">
        <v>254</v>
      </c>
      <c r="C62" s="591"/>
      <c r="D62" s="591"/>
      <c r="E62" s="592" t="s">
        <v>713</v>
      </c>
      <c r="F62" s="593" t="s">
        <v>533</v>
      </c>
      <c r="G62" s="594" t="s">
        <v>534</v>
      </c>
      <c r="I62" s="178"/>
      <c r="J62" s="178"/>
      <c r="K62" s="179"/>
      <c r="L62" s="178"/>
      <c r="M62" s="178"/>
      <c r="N62" s="178"/>
      <c r="Y62" s="180"/>
      <c r="Z62" s="181"/>
      <c r="AA62" s="181"/>
      <c r="AB62" s="181"/>
      <c r="AC62" s="181"/>
      <c r="AD62" s="180"/>
      <c r="AG62" s="182"/>
      <c r="AH62" s="182"/>
      <c r="AI62" s="182"/>
      <c r="AJ62" s="183"/>
      <c r="AK62" s="184"/>
    </row>
    <row r="63" spans="2:42" s="176" customFormat="1" ht="30" customHeight="1" x14ac:dyDescent="0.35">
      <c r="B63" s="270">
        <f>user_grid_bcs</f>
        <v>0</v>
      </c>
      <c r="C63" s="943" t="s">
        <v>255</v>
      </c>
      <c r="D63" s="595" t="s">
        <v>49</v>
      </c>
      <c r="E63" s="317">
        <f>M52*M57</f>
        <v>0</v>
      </c>
      <c r="F63" s="185">
        <f>IFERROR(E63/$AE$57,0)</f>
        <v>0</v>
      </c>
      <c r="G63" s="186">
        <f t="shared" ref="G63:G69" si="1">F63/mmBtu2MJ</f>
        <v>0</v>
      </c>
      <c r="I63" s="177"/>
      <c r="J63" s="177"/>
      <c r="K63" s="177"/>
      <c r="L63" s="177"/>
      <c r="M63" s="177"/>
      <c r="N63" s="177"/>
      <c r="O63" s="177"/>
      <c r="P63" s="177"/>
      <c r="Q63" s="177"/>
      <c r="R63" s="177"/>
      <c r="S63" s="177"/>
      <c r="W63" s="187"/>
      <c r="X63" s="187"/>
      <c r="Y63" s="187"/>
      <c r="Z63" s="184"/>
      <c r="AA63" s="184"/>
      <c r="AB63" s="184"/>
      <c r="AC63" s="184"/>
      <c r="AG63" s="182"/>
      <c r="AH63" s="182"/>
      <c r="AI63" s="182"/>
      <c r="AJ63" s="182"/>
    </row>
    <row r="64" spans="2:42" s="176" customFormat="1" ht="30" customHeight="1" x14ac:dyDescent="0.35">
      <c r="B64" s="575"/>
      <c r="C64" s="952"/>
      <c r="D64" s="595" t="s">
        <v>260</v>
      </c>
      <c r="E64" s="317" t="e">
        <f>I52*I57</f>
        <v>#N/A</v>
      </c>
      <c r="F64" s="185">
        <f t="shared" ref="F64:F69" si="2">IFERROR(E64/$AE$57,0)</f>
        <v>0</v>
      </c>
      <c r="G64" s="186">
        <f t="shared" si="1"/>
        <v>0</v>
      </c>
      <c r="I64" s="177"/>
      <c r="J64" s="177"/>
      <c r="K64" s="177"/>
      <c r="L64" s="177"/>
      <c r="M64" s="177"/>
      <c r="N64" s="177"/>
      <c r="O64" s="177"/>
      <c r="P64" s="177"/>
      <c r="Q64" s="177"/>
      <c r="R64" s="177"/>
      <c r="S64" s="177"/>
      <c r="W64" s="187"/>
      <c r="X64" s="187"/>
      <c r="Y64" s="187"/>
      <c r="Z64" s="184"/>
      <c r="AA64" s="184"/>
      <c r="AB64" s="184"/>
      <c r="AC64" s="184"/>
      <c r="AG64" s="182"/>
      <c r="AH64" s="182"/>
      <c r="AI64" s="182"/>
      <c r="AJ64" s="182"/>
    </row>
    <row r="65" spans="2:37" s="176" customFormat="1" ht="30" customHeight="1" x14ac:dyDescent="0.35">
      <c r="B65" s="575"/>
      <c r="C65" s="952"/>
      <c r="D65" s="595" t="s">
        <v>256</v>
      </c>
      <c r="E65" s="317">
        <f>L55*L57</f>
        <v>0</v>
      </c>
      <c r="F65" s="185">
        <f t="shared" si="2"/>
        <v>0</v>
      </c>
      <c r="G65" s="186">
        <f t="shared" si="1"/>
        <v>0</v>
      </c>
      <c r="I65" s="177"/>
      <c r="J65" s="177"/>
      <c r="K65" s="177"/>
      <c r="L65" s="177"/>
      <c r="M65" s="177"/>
      <c r="N65" s="177"/>
      <c r="O65" s="177"/>
      <c r="P65" s="177"/>
      <c r="Q65" s="177"/>
      <c r="R65" s="177"/>
      <c r="S65" s="177"/>
      <c r="W65" s="187"/>
      <c r="X65" s="187"/>
      <c r="Y65" s="187"/>
      <c r="Z65" s="184"/>
      <c r="AA65" s="184"/>
      <c r="AB65" s="184"/>
      <c r="AC65" s="184"/>
      <c r="AF65" s="182"/>
      <c r="AG65" s="182"/>
      <c r="AH65" s="182"/>
      <c r="AI65" s="182"/>
      <c r="AJ65" s="182"/>
    </row>
    <row r="66" spans="2:37" s="176" customFormat="1" ht="30" customHeight="1" x14ac:dyDescent="0.35">
      <c r="B66" s="575"/>
      <c r="C66" s="952"/>
      <c r="D66" s="596" t="s">
        <v>264</v>
      </c>
      <c r="E66" s="188">
        <f>F55*F57</f>
        <v>0</v>
      </c>
      <c r="F66" s="185">
        <f t="shared" si="2"/>
        <v>0</v>
      </c>
      <c r="G66" s="186">
        <f t="shared" si="1"/>
        <v>0</v>
      </c>
      <c r="I66" s="177"/>
      <c r="J66" s="177"/>
      <c r="K66" s="177"/>
      <c r="L66" s="177"/>
      <c r="M66" s="177"/>
      <c r="N66" s="177"/>
      <c r="O66" s="177"/>
      <c r="P66" s="177"/>
      <c r="Q66" s="177"/>
      <c r="R66" s="177"/>
      <c r="S66" s="177"/>
      <c r="W66" s="187"/>
      <c r="X66" s="187"/>
      <c r="Y66" s="187"/>
      <c r="Z66" s="184"/>
      <c r="AA66" s="184"/>
      <c r="AB66" s="184"/>
      <c r="AC66" s="184"/>
      <c r="AF66" s="182"/>
      <c r="AG66" s="182"/>
      <c r="AH66" s="182"/>
      <c r="AI66" s="182"/>
      <c r="AJ66" s="182"/>
    </row>
    <row r="67" spans="2:37" s="176" customFormat="1" ht="30" customHeight="1" x14ac:dyDescent="0.35">
      <c r="B67" s="575"/>
      <c r="C67" s="952"/>
      <c r="D67" s="595" t="s">
        <v>257</v>
      </c>
      <c r="E67" s="188">
        <f>J55*J57</f>
        <v>0</v>
      </c>
      <c r="F67" s="185">
        <f t="shared" si="2"/>
        <v>0</v>
      </c>
      <c r="G67" s="186">
        <f t="shared" si="1"/>
        <v>0</v>
      </c>
      <c r="I67" s="177"/>
      <c r="J67" s="177"/>
      <c r="K67" s="177"/>
      <c r="L67" s="177"/>
      <c r="M67" s="177"/>
      <c r="N67" s="177"/>
      <c r="O67" s="177"/>
      <c r="P67" s="177"/>
      <c r="Q67" s="177"/>
      <c r="R67" s="177"/>
      <c r="S67" s="177"/>
      <c r="W67" s="187"/>
      <c r="X67" s="187"/>
      <c r="Y67" s="187"/>
      <c r="Z67" s="184"/>
      <c r="AA67" s="184"/>
      <c r="AB67" s="184"/>
      <c r="AC67" s="184"/>
      <c r="AF67" s="182"/>
      <c r="AG67" s="182"/>
      <c r="AH67" s="182"/>
      <c r="AI67" s="182"/>
      <c r="AJ67" s="182"/>
    </row>
    <row r="68" spans="2:37" s="176" customFormat="1" ht="30" customHeight="1" x14ac:dyDescent="0.35">
      <c r="B68" s="597"/>
      <c r="C68" s="952"/>
      <c r="D68" s="595" t="s">
        <v>258</v>
      </c>
      <c r="E68" s="185">
        <f>K55*K57</f>
        <v>0</v>
      </c>
      <c r="F68" s="185">
        <f t="shared" si="2"/>
        <v>0</v>
      </c>
      <c r="G68" s="186">
        <f t="shared" si="1"/>
        <v>0</v>
      </c>
      <c r="I68" s="177"/>
      <c r="J68" s="177"/>
      <c r="K68" s="177"/>
      <c r="L68" s="177"/>
      <c r="M68" s="177"/>
      <c r="N68" s="177"/>
      <c r="O68" s="177"/>
      <c r="P68" s="177"/>
      <c r="Q68" s="177"/>
      <c r="R68" s="177"/>
      <c r="S68" s="177"/>
      <c r="W68" s="189"/>
      <c r="X68" s="189"/>
      <c r="Y68" s="190"/>
      <c r="Z68" s="191"/>
      <c r="AA68" s="191"/>
      <c r="AB68" s="191"/>
      <c r="AC68" s="191"/>
      <c r="AD68" s="192"/>
      <c r="AE68" s="192"/>
      <c r="AF68" s="193"/>
      <c r="AG68" s="187"/>
      <c r="AH68" s="182"/>
      <c r="AI68" s="182"/>
      <c r="AJ68" s="182"/>
    </row>
    <row r="69" spans="2:37" s="176" customFormat="1" ht="36" customHeight="1" x14ac:dyDescent="0.35">
      <c r="B69" s="597"/>
      <c r="C69" s="952"/>
      <c r="D69" s="595" t="str">
        <f>CONCATENATE(N27, " used for digester")</f>
        <v>User-Defined Fuel-1 (MJ, LHV) used for digester</v>
      </c>
      <c r="E69" s="258">
        <f>N55*N57</f>
        <v>0</v>
      </c>
      <c r="F69" s="185">
        <f t="shared" si="2"/>
        <v>0</v>
      </c>
      <c r="G69" s="186">
        <f t="shared" si="1"/>
        <v>0</v>
      </c>
      <c r="I69" s="177"/>
      <c r="J69" s="177"/>
      <c r="K69" s="177"/>
      <c r="L69" s="177"/>
      <c r="M69" s="177"/>
      <c r="N69" s="177"/>
      <c r="O69" s="177"/>
      <c r="P69" s="177"/>
      <c r="Q69" s="177"/>
      <c r="R69" s="177"/>
      <c r="S69" s="177"/>
      <c r="W69" s="189"/>
      <c r="X69" s="189"/>
      <c r="Y69" s="190"/>
      <c r="Z69" s="191"/>
      <c r="AA69" s="191"/>
      <c r="AB69" s="191"/>
      <c r="AC69" s="191"/>
      <c r="AD69" s="192"/>
      <c r="AE69" s="192"/>
      <c r="AF69" s="193"/>
      <c r="AG69" s="187"/>
      <c r="AH69" s="182"/>
      <c r="AI69" s="182"/>
      <c r="AJ69" s="182"/>
    </row>
    <row r="70" spans="2:37" s="176" customFormat="1" ht="30" customHeight="1" x14ac:dyDescent="0.35">
      <c r="B70" s="597"/>
      <c r="C70" s="944"/>
      <c r="D70" s="953" t="s">
        <v>259</v>
      </c>
      <c r="E70" s="954"/>
      <c r="F70" s="955"/>
      <c r="G70" s="194">
        <f>SUM(G63:G69)</f>
        <v>0</v>
      </c>
      <c r="I70" s="177"/>
      <c r="J70" s="177"/>
      <c r="K70" s="177"/>
      <c r="L70" s="177"/>
      <c r="M70" s="177"/>
      <c r="N70" s="177"/>
      <c r="O70" s="177"/>
      <c r="P70" s="177"/>
      <c r="Q70" s="177"/>
      <c r="R70" s="177"/>
      <c r="S70" s="177"/>
      <c r="W70" s="189"/>
      <c r="X70" s="189"/>
      <c r="Y70" s="190"/>
      <c r="Z70" s="191"/>
      <c r="AA70" s="191"/>
      <c r="AB70" s="191"/>
      <c r="AC70" s="191"/>
      <c r="AD70" s="192"/>
      <c r="AE70" s="192"/>
      <c r="AF70" s="193"/>
      <c r="AG70" s="187"/>
      <c r="AH70" s="182"/>
      <c r="AI70" s="182"/>
      <c r="AJ70" s="182"/>
    </row>
    <row r="71" spans="2:37" s="176" customFormat="1" ht="30" customHeight="1" x14ac:dyDescent="0.35">
      <c r="B71" s="597"/>
      <c r="C71" s="943" t="s">
        <v>599</v>
      </c>
      <c r="D71" s="596" t="s">
        <v>260</v>
      </c>
      <c r="E71" s="185" t="e">
        <f>S52*S57</f>
        <v>#N/A</v>
      </c>
      <c r="F71" s="185">
        <f t="shared" ref="F71:F80" si="3">IFERROR(E71/$AE$57,0)</f>
        <v>0</v>
      </c>
      <c r="G71" s="186">
        <f t="shared" ref="G71:G80" si="4">F71/mmBtu2MJ</f>
        <v>0</v>
      </c>
      <c r="I71" s="182"/>
      <c r="J71" s="182"/>
      <c r="K71" s="195"/>
      <c r="L71" s="182"/>
      <c r="M71" s="182"/>
      <c r="N71" s="182"/>
      <c r="W71" s="196"/>
      <c r="X71" s="196"/>
      <c r="Y71" s="197"/>
      <c r="Z71" s="198"/>
      <c r="AA71" s="198"/>
      <c r="AB71" s="198"/>
      <c r="AC71" s="198"/>
      <c r="AD71" s="199"/>
      <c r="AE71" s="199"/>
      <c r="AF71" s="200"/>
      <c r="AG71" s="182"/>
      <c r="AH71" s="182"/>
      <c r="AI71" s="182"/>
      <c r="AJ71" s="182"/>
      <c r="AK71" s="201"/>
    </row>
    <row r="72" spans="2:37" s="176" customFormat="1" ht="30" customHeight="1" x14ac:dyDescent="0.35">
      <c r="B72" s="597"/>
      <c r="C72" s="952"/>
      <c r="D72" s="596" t="s">
        <v>256</v>
      </c>
      <c r="E72" s="202">
        <f>O55*O57</f>
        <v>0</v>
      </c>
      <c r="F72" s="185">
        <f t="shared" si="3"/>
        <v>0</v>
      </c>
      <c r="G72" s="186">
        <f t="shared" si="4"/>
        <v>0</v>
      </c>
      <c r="I72" s="203"/>
      <c r="J72" s="203"/>
      <c r="K72" s="204"/>
      <c r="L72" s="182"/>
      <c r="M72" s="182"/>
      <c r="N72" s="182"/>
      <c r="W72" s="205"/>
      <c r="X72" s="205"/>
      <c r="Y72" s="206"/>
      <c r="Z72" s="198"/>
      <c r="AA72" s="198"/>
      <c r="AB72" s="198"/>
      <c r="AC72" s="198"/>
      <c r="AD72" s="199"/>
      <c r="AE72" s="199"/>
      <c r="AF72" s="200"/>
      <c r="AG72" s="182"/>
      <c r="AH72" s="182"/>
      <c r="AI72" s="182"/>
      <c r="AJ72" s="182"/>
    </row>
    <row r="73" spans="2:37" s="176" customFormat="1" ht="30" customHeight="1" x14ac:dyDescent="0.35">
      <c r="B73" s="597"/>
      <c r="C73" s="952"/>
      <c r="D73" s="596" t="s">
        <v>261</v>
      </c>
      <c r="E73" s="202">
        <f>P55*P57</f>
        <v>0</v>
      </c>
      <c r="F73" s="185">
        <f t="shared" si="3"/>
        <v>0</v>
      </c>
      <c r="G73" s="186">
        <f t="shared" si="4"/>
        <v>0</v>
      </c>
      <c r="I73" s="203"/>
      <c r="J73" s="203"/>
      <c r="K73" s="204"/>
      <c r="L73" s="182"/>
      <c r="M73" s="182"/>
      <c r="N73" s="182"/>
      <c r="W73" s="205"/>
      <c r="X73" s="205"/>
      <c r="Y73" s="206"/>
      <c r="Z73" s="198"/>
      <c r="AA73" s="198"/>
      <c r="AB73" s="198"/>
      <c r="AC73" s="198"/>
      <c r="AD73" s="199"/>
      <c r="AE73" s="199"/>
      <c r="AF73" s="200"/>
      <c r="AG73" s="182"/>
      <c r="AH73" s="182"/>
      <c r="AI73" s="182"/>
      <c r="AJ73" s="182"/>
    </row>
    <row r="74" spans="2:37" s="176" customFormat="1" ht="30" customHeight="1" x14ac:dyDescent="0.35">
      <c r="B74" s="597"/>
      <c r="C74" s="952"/>
      <c r="D74" s="596" t="s">
        <v>262</v>
      </c>
      <c r="E74" s="309">
        <f>Q55*Q57</f>
        <v>0</v>
      </c>
      <c r="F74" s="185">
        <f t="shared" si="3"/>
        <v>0</v>
      </c>
      <c r="G74" s="186">
        <f t="shared" si="4"/>
        <v>0</v>
      </c>
      <c r="I74" s="182"/>
      <c r="J74" s="182"/>
      <c r="K74" s="195"/>
      <c r="L74" s="182"/>
      <c r="M74" s="182"/>
      <c r="N74" s="182"/>
      <c r="W74" s="205"/>
      <c r="X74" s="205"/>
      <c r="Y74" s="206"/>
      <c r="Z74" s="198"/>
      <c r="AA74" s="198"/>
      <c r="AB74" s="198"/>
      <c r="AC74" s="198"/>
      <c r="AD74" s="207"/>
      <c r="AE74" s="207"/>
      <c r="AF74" s="182"/>
      <c r="AG74" s="182"/>
      <c r="AH74" s="182"/>
      <c r="AI74" s="182"/>
      <c r="AJ74" s="182"/>
    </row>
    <row r="75" spans="2:37" s="176" customFormat="1" ht="30" customHeight="1" x14ac:dyDescent="0.35">
      <c r="B75" s="597"/>
      <c r="C75" s="952"/>
      <c r="D75" s="596" t="s">
        <v>263</v>
      </c>
      <c r="E75" s="202">
        <f>R52*R57</f>
        <v>0</v>
      </c>
      <c r="F75" s="185">
        <f t="shared" si="3"/>
        <v>0</v>
      </c>
      <c r="G75" s="186">
        <f t="shared" si="4"/>
        <v>0</v>
      </c>
      <c r="I75" s="208"/>
      <c r="J75" s="208"/>
      <c r="K75" s="195"/>
      <c r="L75" s="182"/>
      <c r="M75" s="182"/>
      <c r="N75" s="182"/>
      <c r="W75" s="209"/>
      <c r="X75" s="209"/>
      <c r="Y75" s="199"/>
      <c r="Z75" s="210"/>
      <c r="AA75" s="210"/>
      <c r="AB75" s="210"/>
      <c r="AC75" s="210"/>
      <c r="AD75" s="207"/>
      <c r="AE75" s="207"/>
      <c r="AF75" s="182"/>
      <c r="AG75" s="211"/>
      <c r="AH75" s="182"/>
      <c r="AI75" s="182"/>
      <c r="AJ75" s="182"/>
    </row>
    <row r="76" spans="2:37" s="176" customFormat="1" ht="30" customHeight="1" x14ac:dyDescent="0.35">
      <c r="B76" s="597"/>
      <c r="C76" s="952"/>
      <c r="D76" s="596" t="s">
        <v>49</v>
      </c>
      <c r="E76" s="202">
        <f>T52*T57</f>
        <v>0</v>
      </c>
      <c r="F76" s="185">
        <f t="shared" si="3"/>
        <v>0</v>
      </c>
      <c r="G76" s="186">
        <f t="shared" si="4"/>
        <v>0</v>
      </c>
      <c r="I76" s="208"/>
      <c r="J76" s="208"/>
      <c r="K76" s="195"/>
      <c r="L76" s="182"/>
      <c r="M76" s="182"/>
      <c r="N76" s="182"/>
      <c r="W76" s="209"/>
      <c r="X76" s="209"/>
      <c r="Y76" s="199"/>
      <c r="Z76" s="210"/>
      <c r="AA76" s="210"/>
      <c r="AB76" s="210"/>
      <c r="AC76" s="210"/>
      <c r="AD76" s="207"/>
      <c r="AE76" s="207"/>
      <c r="AF76" s="182"/>
      <c r="AG76" s="211"/>
      <c r="AH76" s="182"/>
      <c r="AI76" s="182"/>
      <c r="AJ76" s="182"/>
    </row>
    <row r="77" spans="2:37" s="176" customFormat="1" ht="29" x14ac:dyDescent="0.35">
      <c r="B77" s="597"/>
      <c r="C77" s="952"/>
      <c r="D77" s="596" t="str">
        <f>CONCATENATE(U27, " used for upgrading and compression")</f>
        <v>User-Defined Fuel-2 (MJ, LHV) used for upgrading and compression</v>
      </c>
      <c r="E77" s="202">
        <f>U55*U57</f>
        <v>0</v>
      </c>
      <c r="F77" s="185">
        <f t="shared" si="3"/>
        <v>0</v>
      </c>
      <c r="G77" s="186">
        <f t="shared" si="4"/>
        <v>0</v>
      </c>
      <c r="I77" s="208"/>
      <c r="J77" s="208"/>
      <c r="K77" s="195"/>
      <c r="L77" s="182"/>
      <c r="M77" s="182"/>
      <c r="N77" s="182"/>
      <c r="W77" s="209"/>
      <c r="X77" s="209"/>
      <c r="Y77" s="199"/>
      <c r="Z77" s="210"/>
      <c r="AA77" s="210"/>
      <c r="AB77" s="210"/>
      <c r="AC77" s="210"/>
      <c r="AD77" s="207"/>
      <c r="AE77" s="207"/>
      <c r="AF77" s="182"/>
      <c r="AG77" s="211"/>
      <c r="AH77" s="182"/>
      <c r="AI77" s="182"/>
      <c r="AJ77" s="182"/>
    </row>
    <row r="78" spans="2:37" s="176" customFormat="1" ht="36" customHeight="1" x14ac:dyDescent="0.35">
      <c r="B78" s="597"/>
      <c r="C78" s="952"/>
      <c r="D78" s="596" t="str">
        <f>CONCATENATE("Biomethane transported by truck (", X27, ")")</f>
        <v>Biomethane transported by truck (User-Defined Fuel-3 (MJ, LHV))</v>
      </c>
      <c r="E78" s="202">
        <f>X55*X57</f>
        <v>0</v>
      </c>
      <c r="F78" s="185">
        <f t="shared" si="3"/>
        <v>0</v>
      </c>
      <c r="G78" s="186">
        <f t="shared" si="4"/>
        <v>0</v>
      </c>
      <c r="I78" s="208"/>
      <c r="J78" s="208"/>
      <c r="K78" s="195"/>
      <c r="L78" s="182"/>
      <c r="M78" s="182"/>
      <c r="N78" s="182"/>
      <c r="W78" s="209"/>
      <c r="X78" s="209"/>
      <c r="Y78" s="199"/>
      <c r="Z78" s="210"/>
      <c r="AA78" s="210"/>
      <c r="AB78" s="210"/>
      <c r="AC78" s="210"/>
      <c r="AD78" s="207"/>
      <c r="AE78" s="207"/>
      <c r="AF78" s="182"/>
      <c r="AG78" s="211"/>
      <c r="AH78" s="182"/>
      <c r="AI78" s="182"/>
      <c r="AJ78" s="182"/>
    </row>
    <row r="79" spans="2:37" s="176" customFormat="1" ht="36" customHeight="1" x14ac:dyDescent="0.35">
      <c r="B79" s="597"/>
      <c r="C79" s="952"/>
      <c r="D79" s="596" t="s">
        <v>264</v>
      </c>
      <c r="E79" s="309">
        <f>Z55*Z57</f>
        <v>0</v>
      </c>
      <c r="F79" s="185">
        <f t="shared" si="3"/>
        <v>0</v>
      </c>
      <c r="G79" s="186">
        <f t="shared" si="4"/>
        <v>0</v>
      </c>
      <c r="I79" s="182"/>
      <c r="J79" s="182"/>
      <c r="K79" s="195"/>
      <c r="L79" s="182"/>
      <c r="M79" s="182"/>
      <c r="N79" s="182"/>
      <c r="W79" s="212"/>
      <c r="X79" s="212"/>
      <c r="Y79" s="198"/>
      <c r="Z79" s="210"/>
      <c r="AA79" s="210"/>
      <c r="AB79" s="210"/>
      <c r="AC79" s="210"/>
      <c r="AD79" s="207"/>
      <c r="AE79" s="207"/>
      <c r="AF79" s="182"/>
      <c r="AG79" s="211"/>
      <c r="AH79" s="182"/>
      <c r="AI79" s="182"/>
      <c r="AJ79" s="182"/>
    </row>
    <row r="80" spans="2:37" s="176" customFormat="1" ht="36" customHeight="1" x14ac:dyDescent="0.35">
      <c r="B80" s="597"/>
      <c r="C80" s="952"/>
      <c r="D80" s="596" t="s">
        <v>265</v>
      </c>
      <c r="E80" s="202">
        <f>H53*AE51*density_CH4*GWP_CH4</f>
        <v>0</v>
      </c>
      <c r="F80" s="185">
        <f t="shared" si="3"/>
        <v>0</v>
      </c>
      <c r="G80" s="186">
        <f t="shared" si="4"/>
        <v>0</v>
      </c>
      <c r="I80" s="182"/>
      <c r="J80" s="182"/>
      <c r="K80" s="195"/>
      <c r="L80" s="182"/>
      <c r="M80" s="182"/>
      <c r="N80" s="182"/>
      <c r="W80" s="212"/>
      <c r="X80" s="212"/>
      <c r="Y80" s="198"/>
      <c r="Z80" s="210"/>
      <c r="AA80" s="210"/>
      <c r="AB80" s="210"/>
      <c r="AC80" s="210"/>
      <c r="AD80" s="207"/>
      <c r="AE80" s="207"/>
      <c r="AF80" s="182"/>
      <c r="AG80" s="211"/>
      <c r="AH80" s="182"/>
      <c r="AI80" s="182"/>
      <c r="AJ80" s="182"/>
    </row>
    <row r="81" spans="2:36" s="176" customFormat="1" ht="36" customHeight="1" x14ac:dyDescent="0.35">
      <c r="B81" s="598"/>
      <c r="C81" s="944"/>
      <c r="D81" s="953" t="s">
        <v>259</v>
      </c>
      <c r="E81" s="954"/>
      <c r="F81" s="955"/>
      <c r="G81" s="194">
        <f>SUM(G71:G80)</f>
        <v>0</v>
      </c>
      <c r="J81" s="182"/>
      <c r="K81" s="195"/>
      <c r="L81" s="182"/>
      <c r="M81" s="182"/>
      <c r="N81" s="182"/>
      <c r="W81" s="212"/>
      <c r="X81" s="212"/>
      <c r="Y81" s="198"/>
      <c r="Z81" s="210"/>
      <c r="AA81" s="210"/>
      <c r="AB81" s="210"/>
      <c r="AC81" s="210"/>
      <c r="AD81" s="207"/>
      <c r="AE81" s="207"/>
      <c r="AF81" s="182"/>
      <c r="AG81" s="211"/>
      <c r="AH81" s="182"/>
      <c r="AI81" s="182"/>
      <c r="AJ81" s="182"/>
    </row>
    <row r="82" spans="2:36" s="176" customFormat="1" ht="36" customHeight="1" x14ac:dyDescent="0.35">
      <c r="B82" s="941"/>
      <c r="C82" s="943" t="s">
        <v>42</v>
      </c>
      <c r="D82" s="596" t="s">
        <v>266</v>
      </c>
      <c r="E82" s="213">
        <f>$AA$55*mmBtu2MJ*AE46*AE40*(Background!D37+GWP_CH4*(Background!D36*density_CH4/(LHV_CH4*Btu2MJ)))</f>
        <v>0</v>
      </c>
      <c r="F82" s="213">
        <f>IFERROR(E82/$AI$29,0)</f>
        <v>0</v>
      </c>
      <c r="G82" s="194">
        <f>F82/mmBtu2MJ</f>
        <v>0</v>
      </c>
      <c r="J82" s="182"/>
      <c r="K82" s="214"/>
      <c r="L82" s="182"/>
      <c r="M82" s="182"/>
      <c r="N82" s="182"/>
      <c r="W82" s="215"/>
      <c r="X82" s="215"/>
      <c r="Z82" s="207"/>
      <c r="AA82" s="207"/>
      <c r="AB82" s="207"/>
      <c r="AC82" s="207"/>
      <c r="AD82" s="207"/>
      <c r="AE82" s="207"/>
      <c r="AF82" s="216"/>
      <c r="AG82" s="182"/>
      <c r="AH82" s="182"/>
      <c r="AI82" s="182"/>
      <c r="AJ82" s="182"/>
    </row>
    <row r="83" spans="2:36" s="176" customFormat="1" ht="36" customHeight="1" x14ac:dyDescent="0.35">
      <c r="B83" s="942"/>
      <c r="C83" s="944"/>
      <c r="D83" s="596" t="s">
        <v>561</v>
      </c>
      <c r="E83" s="213">
        <f>$AA$55*mmBtu2MJ*(1-AE46)*AE34*(Background!D37+GWP_CH4*(Background!D36*density_CH4/(LHV_CH4*Btu2MJ)))</f>
        <v>0</v>
      </c>
      <c r="F83" s="213">
        <f>IFERROR(E83/$AE$54,0)</f>
        <v>0</v>
      </c>
      <c r="G83" s="194">
        <f>F83/mmBtu2MJ</f>
        <v>0</v>
      </c>
      <c r="K83" s="214"/>
      <c r="L83" s="182"/>
      <c r="M83" s="182"/>
      <c r="N83" s="182"/>
      <c r="W83" s="217"/>
      <c r="X83" s="217"/>
      <c r="Y83" s="218"/>
      <c r="AD83" s="219"/>
      <c r="AE83" s="219"/>
      <c r="AF83" s="216"/>
      <c r="AG83" s="182"/>
      <c r="AH83" s="182"/>
      <c r="AI83" s="182"/>
      <c r="AJ83" s="182"/>
    </row>
    <row r="84" spans="2:36" s="176" customFormat="1" ht="36" customHeight="1" x14ac:dyDescent="0.35">
      <c r="B84" s="941"/>
      <c r="C84" s="943" t="s">
        <v>267</v>
      </c>
      <c r="D84" s="599" t="s">
        <v>268</v>
      </c>
      <c r="E84" s="213">
        <f>(AA55*AE46*mmBtu2MJ)*(1-AE40*Background!$D$36)*(AI25/(LHV_LNG*Btu2MJ))</f>
        <v>0</v>
      </c>
      <c r="F84" s="344">
        <f>IFERROR(E84/$AI$29,0)</f>
        <v>0</v>
      </c>
      <c r="G84" s="343">
        <f>F84/mmBtu2MJ</f>
        <v>0</v>
      </c>
      <c r="J84" s="182"/>
      <c r="K84" s="195"/>
      <c r="L84" s="182"/>
      <c r="M84" s="182"/>
      <c r="N84" s="182"/>
      <c r="W84" s="187"/>
      <c r="X84" s="187"/>
      <c r="Y84" s="219"/>
      <c r="Z84" s="182"/>
      <c r="AA84" s="182"/>
      <c r="AB84" s="182"/>
      <c r="AC84" s="182"/>
      <c r="AD84" s="219"/>
      <c r="AE84" s="219"/>
      <c r="AF84" s="182"/>
      <c r="AG84" s="182"/>
      <c r="AH84" s="182"/>
      <c r="AI84" s="182"/>
      <c r="AJ84" s="182"/>
    </row>
    <row r="85" spans="2:36" s="176" customFormat="1" ht="36" customHeight="1" x14ac:dyDescent="0.35">
      <c r="B85" s="965"/>
      <c r="C85" s="944"/>
      <c r="D85" s="953" t="s">
        <v>259</v>
      </c>
      <c r="E85" s="954"/>
      <c r="F85" s="955"/>
      <c r="G85" s="194">
        <f>SUM(G84:G84)</f>
        <v>0</v>
      </c>
      <c r="J85" s="182"/>
      <c r="K85" s="195"/>
      <c r="L85" s="182"/>
      <c r="M85" s="182"/>
      <c r="N85" s="182"/>
      <c r="W85" s="187"/>
      <c r="X85" s="187"/>
      <c r="Z85" s="220"/>
      <c r="AA85" s="220"/>
      <c r="AB85" s="220"/>
      <c r="AC85" s="220"/>
      <c r="AD85" s="182"/>
      <c r="AE85" s="182"/>
      <c r="AF85" s="216"/>
      <c r="AG85" s="182"/>
      <c r="AH85" s="182"/>
      <c r="AI85" s="182"/>
      <c r="AJ85" s="182"/>
    </row>
    <row r="86" spans="2:36" s="176" customFormat="1" ht="36" customHeight="1" x14ac:dyDescent="0.35">
      <c r="B86" s="965"/>
      <c r="C86" s="961" t="s">
        <v>269</v>
      </c>
      <c r="D86" s="596" t="s">
        <v>270</v>
      </c>
      <c r="E86" s="213">
        <f>(AA55*AE46)*(1-AE40*Background!$D$36)*AI26*(
  Background!D38+
  IF(AI27="Boil-Off Recovery Equipped",Background!$D$39,Background!$D$40)*
    density_LNG*GWP_CH4/(LHV_LNG*Btu2mmBtu)
)</f>
        <v>0</v>
      </c>
      <c r="F86" s="213">
        <f>IFERROR(E86/$AI$29,0)</f>
        <v>0</v>
      </c>
      <c r="G86" s="186">
        <f>F86/mmBtu2MJ</f>
        <v>0</v>
      </c>
      <c r="J86" s="182"/>
      <c r="K86" s="222"/>
      <c r="L86" s="221"/>
      <c r="M86" s="221"/>
      <c r="N86" s="221"/>
      <c r="W86" s="187"/>
      <c r="X86" s="187"/>
      <c r="Y86" s="187"/>
      <c r="Z86" s="187"/>
      <c r="AA86" s="187"/>
      <c r="AB86" s="187"/>
      <c r="AC86" s="187"/>
      <c r="AD86" s="182"/>
      <c r="AE86" s="182"/>
      <c r="AF86" s="216"/>
      <c r="AG86" s="182"/>
      <c r="AH86" s="182"/>
      <c r="AI86" s="182"/>
      <c r="AJ86" s="182"/>
    </row>
    <row r="87" spans="2:36" s="176" customFormat="1" ht="36" customHeight="1" x14ac:dyDescent="0.35">
      <c r="B87" s="965"/>
      <c r="C87" s="962"/>
      <c r="D87" s="600" t="s">
        <v>588</v>
      </c>
      <c r="E87" s="213">
        <f>AA55*AE46*(1-AE40*Background!$D$36)*(1-IF(AI27="Boil-Off Recovery Equipped",Background!$D$39,Background!$D$40))*Background!$D$41*mmBtu2Btu*(density_LNG/LHV_LNG)*GWP_CH4</f>
        <v>0</v>
      </c>
      <c r="F87" s="213">
        <f>IFERROR(E87/$AI$29,0)</f>
        <v>0</v>
      </c>
      <c r="G87" s="186">
        <f>F87/mmBtu2MJ</f>
        <v>0</v>
      </c>
      <c r="J87" s="182"/>
      <c r="K87" s="223"/>
      <c r="L87" s="178"/>
      <c r="M87" s="178"/>
      <c r="N87" s="178"/>
      <c r="W87" s="187"/>
      <c r="X87" s="187"/>
      <c r="Y87" s="187"/>
      <c r="Z87" s="187"/>
      <c r="AA87" s="187"/>
      <c r="AB87" s="187"/>
      <c r="AC87" s="187"/>
      <c r="AD87" s="182"/>
      <c r="AE87" s="182"/>
      <c r="AF87" s="182"/>
      <c r="AG87" s="182"/>
      <c r="AH87" s="182"/>
      <c r="AI87" s="182"/>
      <c r="AJ87" s="182"/>
    </row>
    <row r="88" spans="2:36" s="176" customFormat="1" ht="36" customHeight="1" x14ac:dyDescent="0.35">
      <c r="B88" s="942"/>
      <c r="C88" s="591"/>
      <c r="D88" s="953" t="s">
        <v>259</v>
      </c>
      <c r="E88" s="954"/>
      <c r="F88" s="955"/>
      <c r="G88" s="194">
        <f>SUM(G86:G87)</f>
        <v>0</v>
      </c>
      <c r="J88" s="182"/>
      <c r="K88" s="223"/>
      <c r="L88" s="178"/>
      <c r="M88" s="178"/>
      <c r="N88" s="178"/>
      <c r="W88" s="187"/>
      <c r="X88" s="187"/>
      <c r="Y88" s="187"/>
      <c r="Z88" s="187"/>
      <c r="AA88" s="187"/>
      <c r="AB88" s="187"/>
      <c r="AC88" s="187"/>
      <c r="AD88" s="182"/>
      <c r="AE88" s="182"/>
      <c r="AF88" s="182"/>
      <c r="AG88" s="182"/>
      <c r="AH88" s="182"/>
      <c r="AI88" s="182"/>
      <c r="AJ88" s="182"/>
    </row>
    <row r="89" spans="2:36" s="176" customFormat="1" ht="36" customHeight="1" x14ac:dyDescent="0.35">
      <c r="B89" s="590" t="s">
        <v>559</v>
      </c>
      <c r="C89" s="591"/>
      <c r="D89" s="596"/>
      <c r="E89" s="601" t="s">
        <v>714</v>
      </c>
      <c r="F89" s="602" t="s">
        <v>541</v>
      </c>
      <c r="G89" s="594" t="s">
        <v>715</v>
      </c>
      <c r="J89" s="178"/>
      <c r="K89" s="179"/>
      <c r="L89" s="178"/>
      <c r="M89" s="178"/>
      <c r="N89" s="178"/>
      <c r="W89" s="187"/>
      <c r="X89" s="187"/>
      <c r="Y89" s="187"/>
      <c r="Z89" s="187"/>
      <c r="AA89" s="187"/>
      <c r="AB89" s="187"/>
      <c r="AC89" s="187"/>
      <c r="AD89" s="182"/>
      <c r="AE89" s="182"/>
      <c r="AF89" s="182"/>
      <c r="AG89" s="182"/>
      <c r="AH89" s="182"/>
      <c r="AI89" s="182"/>
      <c r="AJ89" s="182"/>
    </row>
    <row r="90" spans="2:36" s="176" customFormat="1" ht="36" customHeight="1" x14ac:dyDescent="0.35">
      <c r="B90" s="941"/>
      <c r="C90" s="603" t="s">
        <v>57</v>
      </c>
      <c r="D90" s="968" t="s">
        <v>560</v>
      </c>
      <c r="E90" s="969"/>
      <c r="F90" s="332">
        <f>G90/MJ2mmBtu</f>
        <v>3148.6554080412047</v>
      </c>
      <c r="G90" s="194">
        <f>Background!$D$42</f>
        <v>2.9843495091195451</v>
      </c>
      <c r="J90" s="224"/>
      <c r="K90" s="225"/>
      <c r="L90" s="182"/>
      <c r="M90" s="182"/>
      <c r="N90" s="182"/>
      <c r="W90" s="187"/>
      <c r="X90" s="187"/>
      <c r="Y90" s="187"/>
      <c r="Z90" s="187"/>
      <c r="AA90" s="187"/>
      <c r="AB90" s="187"/>
      <c r="AC90" s="187"/>
      <c r="AD90" s="182"/>
      <c r="AE90" s="182"/>
      <c r="AF90" s="182"/>
      <c r="AG90" s="182"/>
      <c r="AH90" s="182"/>
      <c r="AI90" s="182"/>
      <c r="AJ90" s="182"/>
    </row>
    <row r="91" spans="2:36" s="176" customFormat="1" ht="36" customHeight="1" x14ac:dyDescent="0.35">
      <c r="B91" s="965"/>
      <c r="C91" s="970" t="s">
        <v>271</v>
      </c>
      <c r="D91" s="972" t="s">
        <v>272</v>
      </c>
      <c r="E91" s="973"/>
      <c r="F91" s="332">
        <f>G91/MJ2mmBtu</f>
        <v>1322.6301679418918</v>
      </c>
      <c r="G91" s="194">
        <f>Background!$J$43</f>
        <v>1.2536115201312725</v>
      </c>
      <c r="I91" s="224"/>
      <c r="J91" s="224"/>
      <c r="K91" s="225"/>
      <c r="L91" s="182"/>
      <c r="M91" s="182"/>
      <c r="N91" s="182"/>
      <c r="W91" s="187"/>
      <c r="X91" s="187"/>
      <c r="Y91" s="187"/>
      <c r="Z91" s="187"/>
      <c r="AA91" s="187"/>
      <c r="AB91" s="187"/>
      <c r="AC91" s="187"/>
      <c r="AD91" s="182"/>
      <c r="AE91" s="182"/>
      <c r="AF91" s="182"/>
      <c r="AG91" s="182"/>
      <c r="AH91" s="182"/>
      <c r="AI91" s="182"/>
      <c r="AJ91" s="182"/>
    </row>
    <row r="92" spans="2:36" s="176" customFormat="1" ht="36" customHeight="1" x14ac:dyDescent="0.35">
      <c r="B92" s="965"/>
      <c r="C92" s="971"/>
      <c r="D92" s="974" t="s">
        <v>273</v>
      </c>
      <c r="E92" s="975"/>
      <c r="F92" s="332">
        <f>G92/MJ2mmBtu</f>
        <v>1322.6301679418918</v>
      </c>
      <c r="G92" s="194">
        <f>Background!$J$43</f>
        <v>1.2536115201312725</v>
      </c>
      <c r="I92" s="182"/>
      <c r="J92" s="182"/>
      <c r="K92" s="182"/>
      <c r="L92" s="182"/>
      <c r="M92" s="182"/>
      <c r="N92" s="182"/>
      <c r="W92" s="187"/>
      <c r="X92" s="187"/>
      <c r="Y92" s="219"/>
      <c r="Z92" s="219"/>
      <c r="AA92" s="219"/>
      <c r="AB92" s="219"/>
      <c r="AC92" s="219"/>
      <c r="AD92" s="182"/>
      <c r="AE92" s="182"/>
      <c r="AF92" s="182"/>
      <c r="AG92" s="182"/>
      <c r="AH92" s="182"/>
      <c r="AI92" s="182"/>
      <c r="AJ92" s="182"/>
    </row>
    <row r="93" spans="2:36" s="176" customFormat="1" ht="36" customHeight="1" x14ac:dyDescent="0.35">
      <c r="B93" s="966"/>
      <c r="C93" s="976" t="s">
        <v>274</v>
      </c>
      <c r="D93" s="977"/>
      <c r="E93" s="978"/>
      <c r="F93" s="604" t="s">
        <v>275</v>
      </c>
      <c r="G93" s="605">
        <f>AvoidedEmissions!C87</f>
        <v>0</v>
      </c>
      <c r="I93" s="216"/>
      <c r="J93" s="182"/>
      <c r="K93" s="182"/>
      <c r="L93" s="182"/>
      <c r="M93" s="182"/>
      <c r="N93" s="182"/>
      <c r="W93" s="187"/>
      <c r="X93" s="187"/>
      <c r="Y93" s="219"/>
      <c r="Z93" s="219"/>
      <c r="AA93" s="219"/>
      <c r="AB93" s="219"/>
      <c r="AC93" s="219"/>
      <c r="AD93" s="182"/>
      <c r="AE93" s="182"/>
      <c r="AF93" s="182"/>
      <c r="AG93" s="182"/>
      <c r="AH93" s="182"/>
      <c r="AI93" s="182"/>
      <c r="AJ93" s="182"/>
    </row>
    <row r="94" spans="2:36" s="176" customFormat="1" ht="36" customHeight="1" x14ac:dyDescent="0.3">
      <c r="B94" s="966"/>
      <c r="C94" s="606"/>
      <c r="D94" s="607"/>
      <c r="E94" s="608"/>
      <c r="F94" s="609" t="s">
        <v>542</v>
      </c>
      <c r="G94" s="610">
        <f>IF(AA52=0,0,(G70+G81+G83+IF(Include_AvoidedMethane=1,G93,0)+G90+G91))</f>
        <v>0</v>
      </c>
      <c r="I94" s="216"/>
      <c r="J94" s="182"/>
      <c r="K94" s="182"/>
      <c r="L94" s="182"/>
      <c r="M94" s="182"/>
      <c r="N94" s="182"/>
      <c r="W94" s="187"/>
      <c r="X94" s="187"/>
      <c r="Y94" s="227"/>
      <c r="Z94" s="228"/>
      <c r="AA94" s="228"/>
      <c r="AB94" s="228"/>
      <c r="AC94" s="228"/>
      <c r="AD94" s="229"/>
      <c r="AE94" s="229"/>
      <c r="AF94" s="230"/>
      <c r="AG94" s="182"/>
      <c r="AH94" s="232"/>
      <c r="AI94" s="234"/>
      <c r="AJ94" s="182"/>
    </row>
    <row r="95" spans="2:36" s="176" customFormat="1" ht="36" customHeight="1" x14ac:dyDescent="0.3">
      <c r="B95" s="966"/>
      <c r="C95" s="611"/>
      <c r="D95" s="612"/>
      <c r="E95" s="613"/>
      <c r="F95" s="609" t="s">
        <v>543</v>
      </c>
      <c r="G95" s="610">
        <f>IF(AE46=0,0,(G70+G81+G82+G85+G88+IF(Include_AvoidedMethane=1,G93,0)+G92))</f>
        <v>0</v>
      </c>
      <c r="I95" s="182"/>
      <c r="J95" s="182"/>
      <c r="K95" s="182"/>
      <c r="L95" s="182"/>
      <c r="M95" s="182"/>
      <c r="N95" s="182"/>
      <c r="W95" s="187"/>
      <c r="X95" s="187"/>
      <c r="Y95" s="187"/>
      <c r="Z95" s="187"/>
      <c r="AA95" s="187"/>
      <c r="AB95" s="187"/>
      <c r="AC95" s="187"/>
      <c r="AD95" s="182"/>
      <c r="AE95" s="182"/>
      <c r="AF95" s="182"/>
      <c r="AG95" s="182"/>
      <c r="AH95" s="232"/>
      <c r="AI95" s="234"/>
      <c r="AJ95" s="182"/>
    </row>
    <row r="96" spans="2:36" s="176" customFormat="1" ht="36" customHeight="1" thickBot="1" x14ac:dyDescent="0.4">
      <c r="B96" s="967"/>
      <c r="C96" s="614"/>
      <c r="D96" s="615"/>
      <c r="E96" s="616"/>
      <c r="F96" s="617" t="s">
        <v>544</v>
      </c>
      <c r="G96" s="618">
        <f>IF(AE46=0,0,(G70+G81+G82+G85+G88+IF(Include_AvoidedMethane=1,G93,0)+G90+G91))</f>
        <v>0</v>
      </c>
      <c r="I96" s="182"/>
      <c r="J96" s="182"/>
      <c r="K96" s="182"/>
      <c r="L96" s="182"/>
      <c r="M96" s="182"/>
      <c r="N96" s="182"/>
      <c r="W96" s="187"/>
      <c r="X96" s="187"/>
      <c r="Y96" s="187"/>
      <c r="Z96" s="187"/>
      <c r="AA96" s="187"/>
      <c r="AB96" s="187"/>
      <c r="AC96" s="187"/>
      <c r="AD96" s="182"/>
      <c r="AE96" s="182"/>
      <c r="AF96" s="182"/>
      <c r="AG96" s="182"/>
      <c r="AH96" s="187"/>
      <c r="AI96" s="182"/>
      <c r="AJ96" s="182"/>
    </row>
    <row r="97" spans="2:40" s="176" customFormat="1" ht="14" x14ac:dyDescent="0.3">
      <c r="B97" s="171"/>
      <c r="C97" s="171"/>
      <c r="D97" s="171"/>
      <c r="E97" s="171"/>
      <c r="F97" s="171"/>
      <c r="G97" s="171"/>
      <c r="H97" s="182"/>
      <c r="I97" s="171"/>
      <c r="J97" s="171"/>
      <c r="K97" s="171"/>
      <c r="L97" s="171"/>
      <c r="M97" s="171"/>
      <c r="N97" s="171"/>
      <c r="O97" s="171"/>
      <c r="P97" s="171"/>
      <c r="Q97" s="171"/>
      <c r="R97" s="171"/>
      <c r="S97" s="171"/>
      <c r="T97" s="171"/>
      <c r="U97" s="231"/>
      <c r="V97" s="231"/>
      <c r="W97" s="232"/>
      <c r="X97" s="232"/>
      <c r="Y97" s="187"/>
      <c r="Z97" s="187"/>
      <c r="AA97" s="187"/>
      <c r="AB97" s="187"/>
      <c r="AC97" s="187"/>
      <c r="AD97" s="187"/>
      <c r="AE97" s="187"/>
      <c r="AF97" s="182"/>
      <c r="AG97" s="182"/>
      <c r="AH97" s="232"/>
      <c r="AI97" s="234"/>
      <c r="AJ97" s="182"/>
      <c r="AK97" s="182"/>
    </row>
    <row r="98" spans="2:40" s="166" customFormat="1" ht="14" x14ac:dyDescent="0.3">
      <c r="B98" s="171"/>
      <c r="C98" s="171"/>
      <c r="D98" s="171"/>
      <c r="E98" s="171"/>
      <c r="F98" s="171"/>
      <c r="G98" s="171"/>
      <c r="H98" s="182"/>
      <c r="I98" s="171"/>
      <c r="J98" s="171"/>
      <c r="K98" s="171"/>
      <c r="L98" s="171"/>
      <c r="M98" s="171"/>
      <c r="N98" s="171"/>
      <c r="O98" s="171"/>
      <c r="P98" s="171"/>
      <c r="Q98" s="171"/>
      <c r="R98" s="171"/>
      <c r="S98" s="171"/>
      <c r="T98" s="171"/>
      <c r="U98" s="171"/>
      <c r="V98" s="171"/>
      <c r="W98" s="233"/>
      <c r="X98" s="233"/>
      <c r="Y98" s="232"/>
      <c r="Z98" s="232"/>
      <c r="AA98" s="232"/>
      <c r="AB98" s="232"/>
      <c r="AC98" s="232"/>
      <c r="AD98" s="232"/>
      <c r="AE98" s="232"/>
      <c r="AF98" s="234"/>
      <c r="AG98" s="234"/>
      <c r="AH98" s="232"/>
      <c r="AI98" s="234"/>
      <c r="AJ98" s="234"/>
      <c r="AK98" s="234"/>
    </row>
    <row r="99" spans="2:40" s="166" customFormat="1" ht="14" x14ac:dyDescent="0.3">
      <c r="B99" s="171"/>
      <c r="C99" s="171"/>
      <c r="D99" s="171"/>
      <c r="E99" s="171"/>
      <c r="F99" s="171"/>
      <c r="G99" s="171"/>
      <c r="H99" s="171"/>
      <c r="I99" s="171"/>
      <c r="J99" s="171"/>
      <c r="K99" s="171"/>
      <c r="L99" s="171"/>
      <c r="M99" s="171"/>
      <c r="N99" s="171"/>
      <c r="O99" s="171"/>
      <c r="P99" s="171"/>
      <c r="Q99" s="171"/>
      <c r="R99" s="171"/>
      <c r="S99" s="171"/>
      <c r="T99" s="171"/>
      <c r="U99" s="171"/>
      <c r="V99" s="231"/>
      <c r="W99" s="187"/>
      <c r="X99" s="187"/>
      <c r="Y99" s="232"/>
      <c r="Z99" s="232"/>
      <c r="AA99" s="232"/>
      <c r="AB99" s="232"/>
      <c r="AC99" s="232"/>
      <c r="AD99" s="235"/>
      <c r="AE99" s="235"/>
      <c r="AF99" s="234"/>
      <c r="AG99" s="234"/>
      <c r="AH99" s="232"/>
      <c r="AI99" s="234"/>
      <c r="AJ99" s="234"/>
      <c r="AK99" s="234"/>
    </row>
    <row r="100" spans="2:40" s="166" customFormat="1" ht="14" x14ac:dyDescent="0.3">
      <c r="B100" s="171"/>
      <c r="C100" s="171"/>
      <c r="D100" s="171"/>
      <c r="E100" s="171"/>
      <c r="F100" s="171"/>
      <c r="G100" s="171"/>
      <c r="H100" s="171"/>
      <c r="I100" s="171"/>
      <c r="J100" s="171"/>
      <c r="K100" s="171"/>
      <c r="L100" s="171"/>
      <c r="M100" s="171"/>
      <c r="N100" s="171"/>
      <c r="O100" s="171"/>
      <c r="P100" s="171"/>
      <c r="Q100" s="171"/>
      <c r="R100" s="171"/>
      <c r="S100" s="171"/>
      <c r="T100" s="171"/>
      <c r="U100" s="171"/>
      <c r="V100" s="171"/>
      <c r="W100" s="232"/>
      <c r="X100" s="232"/>
      <c r="Y100" s="187"/>
      <c r="Z100" s="187"/>
      <c r="AA100" s="187"/>
      <c r="AB100" s="187"/>
      <c r="AC100" s="187"/>
      <c r="AD100" s="187"/>
      <c r="AE100" s="187"/>
      <c r="AF100" s="182"/>
      <c r="AG100" s="182"/>
      <c r="AH100" s="232"/>
      <c r="AI100" s="234"/>
      <c r="AJ100" s="182"/>
      <c r="AK100" s="182"/>
      <c r="AL100" s="176"/>
    </row>
    <row r="101" spans="2:40" s="166" customFormat="1" ht="14" x14ac:dyDescent="0.3">
      <c r="B101" s="171"/>
      <c r="C101" s="171"/>
      <c r="D101" s="171"/>
      <c r="E101" s="171"/>
      <c r="F101" s="171"/>
      <c r="G101" s="171"/>
      <c r="H101" s="171"/>
      <c r="I101" s="171"/>
      <c r="J101" s="171"/>
      <c r="K101" s="171"/>
      <c r="L101" s="171"/>
      <c r="M101" s="171"/>
      <c r="N101" s="171"/>
      <c r="O101" s="171"/>
      <c r="P101" s="171"/>
      <c r="Q101" s="171"/>
      <c r="R101" s="171"/>
      <c r="S101" s="171"/>
      <c r="T101" s="171"/>
      <c r="U101" s="171"/>
      <c r="V101" s="171"/>
      <c r="W101" s="232"/>
      <c r="X101" s="232"/>
      <c r="Y101" s="232"/>
      <c r="Z101" s="232"/>
      <c r="AA101" s="232"/>
      <c r="AB101" s="232"/>
      <c r="AC101" s="232"/>
      <c r="AD101" s="232"/>
      <c r="AE101" s="232"/>
      <c r="AF101" s="234"/>
      <c r="AG101" s="234"/>
      <c r="AH101" s="232"/>
      <c r="AI101" s="234"/>
      <c r="AJ101" s="234"/>
      <c r="AK101" s="234"/>
    </row>
    <row r="102" spans="2:40" s="166" customFormat="1" ht="14" x14ac:dyDescent="0.3">
      <c r="B102" s="171"/>
      <c r="C102" s="171"/>
      <c r="D102" s="171"/>
      <c r="E102" s="171"/>
      <c r="F102" s="171"/>
      <c r="G102" s="171"/>
      <c r="H102" s="171"/>
      <c r="I102" s="171"/>
      <c r="J102" s="171"/>
      <c r="K102" s="171"/>
      <c r="L102" s="171"/>
      <c r="M102" s="171"/>
      <c r="N102" s="171"/>
      <c r="O102" s="171"/>
      <c r="P102" s="171"/>
      <c r="Q102" s="171"/>
      <c r="R102" s="171"/>
      <c r="S102" s="171"/>
      <c r="T102" s="171"/>
      <c r="U102" s="171"/>
      <c r="V102" s="171"/>
      <c r="W102" s="232"/>
      <c r="X102" s="232"/>
      <c r="Y102" s="232"/>
      <c r="Z102" s="232"/>
      <c r="AA102" s="232"/>
      <c r="AB102" s="232"/>
      <c r="AC102" s="232"/>
      <c r="AD102" s="232"/>
      <c r="AE102" s="232"/>
      <c r="AF102" s="234"/>
      <c r="AG102" s="234"/>
      <c r="AH102" s="232"/>
      <c r="AI102" s="234"/>
      <c r="AJ102" s="234"/>
      <c r="AK102" s="234"/>
    </row>
    <row r="103" spans="2:40" s="166" customFormat="1" ht="14" x14ac:dyDescent="0.3">
      <c r="B103" s="171"/>
      <c r="C103" s="171"/>
      <c r="D103" s="171"/>
      <c r="E103" s="171"/>
      <c r="F103" s="171"/>
      <c r="G103" s="171"/>
      <c r="H103" s="171"/>
      <c r="I103" s="171"/>
      <c r="J103" s="171"/>
      <c r="K103" s="171"/>
      <c r="L103" s="171"/>
      <c r="M103" s="171"/>
      <c r="N103" s="171"/>
      <c r="O103" s="171"/>
      <c r="P103" s="171"/>
      <c r="Q103" s="171"/>
      <c r="R103" s="171"/>
      <c r="S103" s="171"/>
      <c r="T103" s="171"/>
      <c r="U103" s="171"/>
      <c r="V103" s="171"/>
      <c r="W103" s="232"/>
      <c r="X103" s="232"/>
      <c r="Y103" s="232"/>
      <c r="Z103" s="232"/>
      <c r="AA103" s="232"/>
      <c r="AB103" s="232"/>
      <c r="AC103" s="232"/>
      <c r="AD103" s="232"/>
      <c r="AE103" s="232"/>
      <c r="AF103" s="234"/>
      <c r="AG103" s="234"/>
      <c r="AH103" s="232"/>
      <c r="AI103" s="234"/>
      <c r="AJ103" s="234"/>
      <c r="AK103" s="234"/>
    </row>
    <row r="104" spans="2:40" s="166" customFormat="1" ht="14" x14ac:dyDescent="0.3">
      <c r="B104" s="171"/>
      <c r="C104" s="171"/>
      <c r="D104" s="171"/>
      <c r="E104" s="171"/>
      <c r="F104" s="171"/>
      <c r="G104" s="171"/>
      <c r="H104" s="171"/>
      <c r="I104" s="171"/>
      <c r="J104" s="171"/>
      <c r="K104" s="171"/>
      <c r="L104" s="171"/>
      <c r="M104" s="171"/>
      <c r="N104" s="171"/>
      <c r="O104" s="171"/>
      <c r="P104" s="171"/>
      <c r="Q104" s="171"/>
      <c r="R104" s="171"/>
      <c r="S104" s="171"/>
      <c r="T104" s="171"/>
      <c r="U104" s="171"/>
      <c r="V104" s="171"/>
      <c r="W104" s="232"/>
      <c r="X104" s="232"/>
      <c r="Y104" s="232"/>
      <c r="Z104" s="232"/>
      <c r="AA104" s="232"/>
      <c r="AB104" s="232"/>
      <c r="AC104" s="232"/>
      <c r="AD104" s="232"/>
      <c r="AE104" s="232"/>
      <c r="AF104" s="234"/>
      <c r="AG104" s="234"/>
      <c r="AH104" s="232"/>
      <c r="AI104" s="234"/>
      <c r="AJ104" s="234"/>
      <c r="AK104" s="234"/>
    </row>
    <row r="105" spans="2:40" s="166" customFormat="1" ht="14" x14ac:dyDescent="0.3">
      <c r="B105" s="171"/>
      <c r="C105" s="171"/>
      <c r="D105" s="171"/>
      <c r="E105" s="171"/>
      <c r="F105" s="171"/>
      <c r="G105" s="171"/>
      <c r="H105" s="171"/>
      <c r="I105" s="171"/>
      <c r="J105" s="171"/>
      <c r="K105" s="171"/>
      <c r="L105" s="171"/>
      <c r="M105" s="171"/>
      <c r="N105" s="171"/>
      <c r="O105" s="171"/>
      <c r="P105" s="171"/>
      <c r="Q105" s="171"/>
      <c r="R105" s="171"/>
      <c r="S105" s="171"/>
      <c r="T105" s="171"/>
      <c r="U105" s="171"/>
      <c r="V105" s="171"/>
      <c r="W105" s="236"/>
      <c r="X105" s="236"/>
      <c r="Y105" s="232"/>
      <c r="Z105" s="232"/>
      <c r="AA105" s="232"/>
      <c r="AB105" s="232"/>
      <c r="AC105" s="232"/>
      <c r="AD105" s="232"/>
      <c r="AE105" s="232"/>
      <c r="AF105" s="234"/>
      <c r="AG105" s="234"/>
      <c r="AH105" s="232"/>
      <c r="AI105" s="234"/>
      <c r="AJ105" s="234"/>
      <c r="AK105" s="234"/>
      <c r="AM105" s="176"/>
      <c r="AN105" s="176"/>
    </row>
    <row r="106" spans="2:40" s="166" customFormat="1" ht="14" x14ac:dyDescent="0.3">
      <c r="B106" s="171"/>
      <c r="C106" s="171"/>
      <c r="D106" s="171"/>
      <c r="E106" s="171"/>
      <c r="F106" s="171"/>
      <c r="G106" s="171"/>
      <c r="H106" s="171"/>
      <c r="I106" s="171"/>
      <c r="J106" s="171"/>
      <c r="K106" s="171"/>
      <c r="L106" s="171"/>
      <c r="M106" s="171"/>
      <c r="N106" s="171"/>
      <c r="O106" s="171"/>
      <c r="P106" s="171"/>
      <c r="Q106" s="171"/>
      <c r="R106" s="171"/>
      <c r="S106" s="171"/>
      <c r="T106" s="171"/>
      <c r="U106" s="171"/>
      <c r="V106" s="171"/>
      <c r="W106" s="236"/>
      <c r="X106" s="236"/>
      <c r="Y106" s="232"/>
      <c r="Z106" s="232"/>
      <c r="AA106" s="232"/>
      <c r="AB106" s="232"/>
      <c r="AC106" s="232"/>
      <c r="AD106" s="232"/>
      <c r="AE106" s="232"/>
      <c r="AF106" s="234"/>
      <c r="AG106" s="234"/>
      <c r="AH106" s="232"/>
      <c r="AI106" s="234"/>
      <c r="AJ106" s="234"/>
      <c r="AK106" s="234"/>
    </row>
    <row r="107" spans="2:40" s="166" customFormat="1" ht="14" x14ac:dyDescent="0.3">
      <c r="B107" s="171"/>
      <c r="C107" s="171"/>
      <c r="D107" s="171"/>
      <c r="E107" s="171"/>
      <c r="F107" s="171"/>
      <c r="G107" s="171"/>
      <c r="H107" s="171"/>
      <c r="I107" s="171"/>
      <c r="J107" s="171"/>
      <c r="K107" s="171"/>
      <c r="L107" s="171"/>
      <c r="M107" s="171"/>
      <c r="N107" s="171"/>
      <c r="O107" s="171"/>
      <c r="P107" s="171"/>
      <c r="Q107" s="171"/>
      <c r="R107" s="171"/>
      <c r="S107" s="171"/>
      <c r="T107" s="171"/>
      <c r="U107" s="171"/>
      <c r="V107" s="171"/>
      <c r="W107" s="232"/>
      <c r="X107" s="232"/>
      <c r="Y107" s="232"/>
      <c r="Z107" s="232"/>
      <c r="AA107" s="232"/>
      <c r="AB107" s="232"/>
      <c r="AC107" s="232"/>
      <c r="AD107" s="232"/>
      <c r="AE107" s="232"/>
      <c r="AF107" s="234"/>
      <c r="AG107" s="234"/>
      <c r="AH107" s="232"/>
      <c r="AI107" s="234"/>
      <c r="AJ107" s="234"/>
      <c r="AK107" s="234"/>
    </row>
    <row r="108" spans="2:40" s="166" customFormat="1" ht="14" x14ac:dyDescent="0.3">
      <c r="B108" s="171"/>
      <c r="C108" s="171"/>
      <c r="D108" s="171"/>
      <c r="E108" s="171"/>
      <c r="F108" s="171"/>
      <c r="G108" s="171"/>
      <c r="H108" s="171"/>
      <c r="I108" s="171"/>
      <c r="J108" s="171"/>
      <c r="K108" s="171"/>
      <c r="L108" s="171"/>
      <c r="M108" s="171"/>
      <c r="N108" s="171"/>
      <c r="O108" s="171"/>
      <c r="P108" s="171"/>
      <c r="Q108" s="171"/>
      <c r="R108" s="171"/>
      <c r="S108" s="171"/>
      <c r="T108" s="171"/>
      <c r="U108" s="171"/>
      <c r="V108" s="171"/>
      <c r="W108" s="232"/>
      <c r="X108" s="232"/>
      <c r="Y108" s="232"/>
      <c r="Z108" s="232"/>
      <c r="AA108" s="232"/>
      <c r="AB108" s="232"/>
      <c r="AC108" s="232"/>
      <c r="AD108" s="232"/>
      <c r="AE108" s="232"/>
      <c r="AF108" s="234"/>
      <c r="AG108" s="234"/>
      <c r="AH108" s="232"/>
      <c r="AI108" s="234"/>
      <c r="AJ108" s="234"/>
      <c r="AK108" s="234"/>
    </row>
    <row r="109" spans="2:40" s="166" customFormat="1" ht="14" x14ac:dyDescent="0.3">
      <c r="B109" s="171"/>
      <c r="C109" s="171"/>
      <c r="D109" s="171"/>
      <c r="E109" s="171"/>
      <c r="F109" s="171"/>
      <c r="G109" s="171"/>
      <c r="H109" s="171"/>
      <c r="I109" s="171"/>
      <c r="J109" s="171"/>
      <c r="K109" s="171"/>
      <c r="L109" s="171"/>
      <c r="M109" s="171"/>
      <c r="N109" s="171"/>
      <c r="O109" s="171"/>
      <c r="P109" s="171"/>
      <c r="Q109" s="171"/>
      <c r="R109" s="171"/>
      <c r="S109" s="171"/>
      <c r="T109" s="171"/>
      <c r="U109" s="171"/>
      <c r="V109" s="171"/>
      <c r="W109" s="232"/>
      <c r="X109" s="232"/>
      <c r="Y109" s="232"/>
      <c r="Z109" s="232"/>
      <c r="AA109" s="232"/>
      <c r="AB109" s="232"/>
      <c r="AC109" s="232"/>
      <c r="AD109" s="232"/>
      <c r="AE109" s="232"/>
      <c r="AF109" s="234"/>
      <c r="AG109" s="234"/>
      <c r="AH109" s="232"/>
      <c r="AI109" s="234"/>
      <c r="AJ109" s="234"/>
      <c r="AK109" s="234"/>
    </row>
    <row r="110" spans="2:40" s="166" customFormat="1" x14ac:dyDescent="0.35">
      <c r="B110" s="171"/>
      <c r="C110" s="171"/>
      <c r="D110" s="171"/>
      <c r="E110" s="171"/>
      <c r="F110" s="171"/>
      <c r="G110" s="171"/>
      <c r="H110" s="171"/>
      <c r="I110" s="171"/>
      <c r="J110" s="171"/>
      <c r="K110" s="171"/>
      <c r="L110" s="171"/>
      <c r="M110" s="171"/>
      <c r="N110" s="171"/>
      <c r="O110" s="171"/>
      <c r="P110" s="171"/>
      <c r="Q110" s="171"/>
      <c r="R110" s="171"/>
      <c r="S110" s="171"/>
      <c r="T110" s="171"/>
      <c r="U110" s="171"/>
      <c r="V110" s="171"/>
      <c r="W110" s="232"/>
      <c r="X110" s="232"/>
      <c r="Y110" s="232"/>
      <c r="Z110" s="232"/>
      <c r="AA110" s="232"/>
      <c r="AB110" s="232"/>
      <c r="AC110" s="232"/>
      <c r="AD110" s="232"/>
      <c r="AE110" s="232"/>
      <c r="AF110" s="234"/>
      <c r="AG110" s="234"/>
      <c r="AH110" s="237"/>
      <c r="AI110" s="238"/>
      <c r="AJ110" s="234"/>
      <c r="AK110" s="234"/>
    </row>
    <row r="111" spans="2:40" s="166" customFormat="1" x14ac:dyDescent="0.35">
      <c r="B111" s="171"/>
      <c r="C111" s="171"/>
      <c r="D111" s="171"/>
      <c r="E111" s="171"/>
      <c r="F111" s="171"/>
      <c r="G111" s="171"/>
      <c r="H111" s="171"/>
      <c r="I111" s="171"/>
      <c r="J111" s="171"/>
      <c r="K111" s="171"/>
      <c r="L111" s="171"/>
      <c r="M111" s="171"/>
      <c r="N111" s="171"/>
      <c r="O111" s="171"/>
      <c r="P111" s="171"/>
      <c r="Q111" s="171"/>
      <c r="R111" s="171"/>
      <c r="S111" s="171"/>
      <c r="T111" s="171"/>
      <c r="U111" s="171"/>
      <c r="V111" s="171"/>
      <c r="W111" s="232"/>
      <c r="X111" s="232"/>
      <c r="Y111" s="232"/>
      <c r="Z111" s="232"/>
      <c r="AA111" s="232"/>
      <c r="AB111" s="232"/>
      <c r="AC111" s="232"/>
      <c r="AD111" s="232"/>
      <c r="AE111" s="232"/>
      <c r="AF111" s="234"/>
      <c r="AG111" s="234"/>
      <c r="AH111" s="237"/>
      <c r="AI111" s="238"/>
      <c r="AJ111" s="234"/>
      <c r="AK111" s="234"/>
    </row>
    <row r="112" spans="2:40" s="166" customFormat="1" x14ac:dyDescent="0.35">
      <c r="B112" s="171"/>
      <c r="C112" s="171"/>
      <c r="D112" s="171"/>
      <c r="E112" s="171"/>
      <c r="F112" s="171"/>
      <c r="G112" s="171"/>
      <c r="H112" s="171"/>
      <c r="I112" s="171"/>
      <c r="J112" s="171"/>
      <c r="K112" s="171"/>
      <c r="L112" s="171"/>
      <c r="M112" s="171"/>
      <c r="N112" s="171"/>
      <c r="O112" s="171"/>
      <c r="P112" s="171"/>
      <c r="Q112" s="171"/>
      <c r="R112" s="171"/>
      <c r="S112" s="171"/>
      <c r="T112" s="171"/>
      <c r="U112" s="171"/>
      <c r="V112" s="171"/>
      <c r="W112" s="232"/>
      <c r="X112" s="232"/>
      <c r="Y112" s="232"/>
      <c r="Z112" s="232"/>
      <c r="AA112" s="232"/>
      <c r="AB112" s="232"/>
      <c r="AC112" s="232"/>
      <c r="AD112" s="232"/>
      <c r="AE112" s="232"/>
      <c r="AF112" s="234"/>
      <c r="AG112" s="234"/>
      <c r="AH112" s="237"/>
      <c r="AI112" s="239"/>
      <c r="AJ112" s="234"/>
      <c r="AK112" s="234"/>
    </row>
    <row r="113" spans="2:48" s="166" customFormat="1" x14ac:dyDescent="0.35">
      <c r="B113" s="171"/>
      <c r="C113" s="171"/>
      <c r="D113" s="171"/>
      <c r="E113" s="171"/>
      <c r="F113" s="171"/>
      <c r="G113" s="171"/>
      <c r="H113" s="171"/>
      <c r="I113" s="171"/>
      <c r="J113" s="171"/>
      <c r="K113" s="171"/>
      <c r="L113" s="171"/>
      <c r="M113" s="171"/>
      <c r="N113" s="171"/>
      <c r="O113" s="171"/>
      <c r="P113" s="171"/>
      <c r="Q113" s="171"/>
      <c r="R113" s="171"/>
      <c r="S113" s="171"/>
      <c r="T113" s="171"/>
      <c r="U113" s="171"/>
      <c r="V113" s="171"/>
      <c r="W113" s="232"/>
      <c r="X113" s="232"/>
      <c r="Y113" s="232"/>
      <c r="Z113" s="232"/>
      <c r="AA113" s="232"/>
      <c r="AB113" s="232"/>
      <c r="AC113" s="232"/>
      <c r="AD113" s="232"/>
      <c r="AE113" s="232"/>
      <c r="AF113" s="234"/>
      <c r="AG113" s="234"/>
      <c r="AH113" s="237"/>
      <c r="AI113" s="238"/>
      <c r="AJ113" s="234"/>
      <c r="AK113" s="234"/>
    </row>
    <row r="114" spans="2:48" s="161" customFormat="1" x14ac:dyDescent="0.35">
      <c r="B114" s="80"/>
      <c r="C114" s="80"/>
      <c r="D114" s="80"/>
      <c r="E114" s="80"/>
      <c r="F114" s="80"/>
      <c r="G114" s="80"/>
      <c r="H114" s="171"/>
      <c r="I114" s="80"/>
      <c r="J114" s="80"/>
      <c r="K114" s="80"/>
      <c r="L114" s="80"/>
      <c r="M114" s="80"/>
      <c r="N114" s="80"/>
      <c r="O114" s="80"/>
      <c r="P114" s="80"/>
      <c r="Q114" s="80"/>
      <c r="R114" s="80"/>
      <c r="S114" s="80"/>
      <c r="T114" s="80"/>
      <c r="U114" s="80"/>
      <c r="V114" s="80"/>
      <c r="W114" s="237"/>
      <c r="X114" s="237"/>
      <c r="Y114" s="237"/>
      <c r="Z114" s="237"/>
      <c r="AA114" s="237"/>
      <c r="AB114" s="237"/>
      <c r="AC114" s="237"/>
      <c r="AD114" s="237"/>
      <c r="AE114" s="237"/>
      <c r="AF114" s="238"/>
      <c r="AG114" s="238"/>
      <c r="AH114" s="237"/>
      <c r="AI114" s="238"/>
      <c r="AJ114" s="238"/>
      <c r="AK114" s="238"/>
    </row>
    <row r="115" spans="2:48" s="161" customFormat="1" x14ac:dyDescent="0.35">
      <c r="B115" s="80"/>
      <c r="C115" s="80"/>
      <c r="D115" s="80"/>
      <c r="E115" s="80"/>
      <c r="F115" s="80"/>
      <c r="G115" s="80"/>
      <c r="H115" s="171"/>
      <c r="I115" s="80"/>
      <c r="J115" s="80"/>
      <c r="K115" s="80"/>
      <c r="L115" s="80"/>
      <c r="M115" s="80"/>
      <c r="N115" s="80"/>
      <c r="O115" s="80"/>
      <c r="P115" s="80"/>
      <c r="Q115" s="80"/>
      <c r="R115" s="80"/>
      <c r="S115" s="80"/>
      <c r="T115" s="80"/>
      <c r="U115" s="80"/>
      <c r="V115" s="80"/>
      <c r="W115" s="156"/>
      <c r="X115" s="156"/>
      <c r="Y115" s="237"/>
      <c r="Z115" s="237"/>
      <c r="AA115" s="237"/>
      <c r="AB115" s="237"/>
      <c r="AC115" s="237"/>
      <c r="AD115" s="237"/>
      <c r="AE115" s="237"/>
      <c r="AF115" s="238"/>
      <c r="AG115" s="238"/>
      <c r="AH115" s="237"/>
      <c r="AI115" s="238"/>
      <c r="AJ115" s="238"/>
      <c r="AK115" s="238"/>
    </row>
    <row r="116" spans="2:48" s="161" customFormat="1" x14ac:dyDescent="0.35">
      <c r="B116" s="80"/>
      <c r="C116" s="80"/>
      <c r="D116" s="80"/>
      <c r="E116" s="80"/>
      <c r="F116" s="80"/>
      <c r="G116" s="80"/>
      <c r="H116" s="80"/>
      <c r="I116" s="80"/>
      <c r="J116" s="80"/>
      <c r="K116" s="80"/>
      <c r="L116" s="80"/>
      <c r="M116" s="80"/>
      <c r="N116" s="80"/>
      <c r="O116" s="80"/>
      <c r="P116" s="80"/>
      <c r="Q116" s="80"/>
      <c r="R116" s="80"/>
      <c r="S116" s="80"/>
      <c r="T116" s="80"/>
      <c r="U116" s="80"/>
      <c r="V116" s="80"/>
      <c r="W116" s="237"/>
      <c r="X116" s="237"/>
      <c r="Y116" s="156"/>
      <c r="Z116" s="156"/>
      <c r="AA116" s="156"/>
      <c r="AB116" s="156"/>
      <c r="AC116" s="156"/>
      <c r="AD116" s="156"/>
      <c r="AE116" s="156"/>
      <c r="AF116" s="239"/>
      <c r="AG116" s="239"/>
      <c r="AH116" s="237"/>
      <c r="AI116" s="238"/>
      <c r="AJ116" s="239"/>
      <c r="AK116" s="239"/>
      <c r="AL116" s="240"/>
    </row>
    <row r="117" spans="2:48" s="161" customFormat="1" x14ac:dyDescent="0.35">
      <c r="B117" s="80"/>
      <c r="C117" s="80"/>
      <c r="D117" s="80"/>
      <c r="E117" s="80"/>
      <c r="F117" s="80"/>
      <c r="G117" s="80"/>
      <c r="H117" s="80"/>
      <c r="I117" s="80"/>
      <c r="J117" s="80"/>
      <c r="K117" s="80"/>
      <c r="L117" s="80"/>
      <c r="M117" s="80"/>
      <c r="N117" s="80"/>
      <c r="O117" s="80"/>
      <c r="P117" s="80"/>
      <c r="Q117" s="80"/>
      <c r="R117" s="80"/>
      <c r="S117" s="80"/>
      <c r="T117" s="80"/>
      <c r="U117" s="80"/>
      <c r="V117" s="80"/>
      <c r="W117" s="237"/>
      <c r="X117" s="237"/>
      <c r="Y117" s="237"/>
      <c r="Z117" s="237"/>
      <c r="AA117" s="237"/>
      <c r="AB117" s="237"/>
      <c r="AC117" s="237"/>
      <c r="AD117" s="237"/>
      <c r="AE117" s="237"/>
      <c r="AF117" s="238"/>
      <c r="AG117" s="238"/>
      <c r="AH117" s="237"/>
      <c r="AI117" s="238"/>
      <c r="AJ117" s="238"/>
      <c r="AK117" s="238"/>
      <c r="AN117" s="241"/>
    </row>
    <row r="118" spans="2:48" s="161" customFormat="1" x14ac:dyDescent="0.35">
      <c r="B118" s="80"/>
      <c r="C118" s="80"/>
      <c r="D118" s="80"/>
      <c r="E118" s="80"/>
      <c r="F118" s="80"/>
      <c r="G118" s="80"/>
      <c r="H118" s="80"/>
      <c r="I118" s="80"/>
      <c r="J118" s="80"/>
      <c r="K118" s="80"/>
      <c r="L118" s="80"/>
      <c r="M118" s="80"/>
      <c r="N118" s="80"/>
      <c r="O118" s="80"/>
      <c r="P118" s="80"/>
      <c r="Q118" s="80"/>
      <c r="R118" s="80"/>
      <c r="S118" s="80"/>
      <c r="T118" s="80"/>
      <c r="U118" s="80"/>
      <c r="V118" s="80"/>
      <c r="W118" s="237"/>
      <c r="X118" s="237"/>
      <c r="Y118" s="237"/>
      <c r="Z118" s="237"/>
      <c r="AA118" s="237"/>
      <c r="AB118" s="237"/>
      <c r="AC118" s="237"/>
      <c r="AD118" s="237"/>
      <c r="AE118" s="237"/>
      <c r="AF118" s="238"/>
      <c r="AG118" s="238"/>
      <c r="AH118" s="237"/>
      <c r="AI118" s="238"/>
      <c r="AJ118" s="238"/>
      <c r="AK118" s="238"/>
      <c r="AM118" s="241"/>
      <c r="AN118" s="241"/>
      <c r="AO118" s="241"/>
      <c r="AP118" s="241"/>
      <c r="AQ118" s="241"/>
      <c r="AR118" s="241"/>
      <c r="AS118" s="241"/>
      <c r="AT118" s="241"/>
      <c r="AU118" s="241"/>
      <c r="AV118" s="241"/>
    </row>
    <row r="119" spans="2:48" x14ac:dyDescent="0.35">
      <c r="W119" s="237"/>
      <c r="X119" s="237"/>
      <c r="Y119" s="237"/>
      <c r="Z119" s="237"/>
      <c r="AA119" s="237"/>
      <c r="AB119" s="237"/>
      <c r="AC119" s="237"/>
      <c r="AD119" s="237"/>
      <c r="AE119" s="237"/>
      <c r="AF119" s="238"/>
      <c r="AG119" s="238"/>
      <c r="AH119" s="237"/>
      <c r="AI119" s="238"/>
      <c r="AJ119" s="238"/>
      <c r="AK119" s="238"/>
      <c r="AL119" s="161"/>
    </row>
    <row r="120" spans="2:48" x14ac:dyDescent="0.35">
      <c r="W120" s="237"/>
      <c r="X120" s="237"/>
      <c r="Y120" s="237"/>
      <c r="Z120" s="237"/>
      <c r="AA120" s="237"/>
      <c r="AB120" s="237"/>
      <c r="AC120" s="237"/>
      <c r="AD120" s="237"/>
      <c r="AE120" s="237"/>
      <c r="AF120" s="238"/>
      <c r="AG120" s="238"/>
      <c r="AH120" s="237"/>
      <c r="AI120" s="238"/>
      <c r="AJ120" s="238"/>
      <c r="AK120" s="238"/>
      <c r="AL120" s="161"/>
    </row>
    <row r="121" spans="2:48" x14ac:dyDescent="0.35">
      <c r="W121" s="237"/>
      <c r="X121" s="237"/>
      <c r="Y121" s="237"/>
      <c r="Z121" s="237"/>
      <c r="AA121" s="237"/>
      <c r="AB121" s="237"/>
      <c r="AC121" s="237"/>
      <c r="AD121" s="237"/>
      <c r="AE121" s="237"/>
      <c r="AF121" s="238"/>
      <c r="AG121" s="238"/>
      <c r="AH121" s="237"/>
      <c r="AI121" s="238"/>
      <c r="AJ121" s="238"/>
      <c r="AK121" s="238"/>
      <c r="AL121" s="161"/>
    </row>
    <row r="122" spans="2:48" x14ac:dyDescent="0.35">
      <c r="W122" s="237"/>
      <c r="X122" s="237"/>
      <c r="Y122" s="237"/>
      <c r="Z122" s="237"/>
      <c r="AA122" s="237"/>
      <c r="AB122" s="237"/>
      <c r="AC122" s="237"/>
      <c r="AD122" s="237"/>
      <c r="AE122" s="237"/>
      <c r="AF122" s="238"/>
      <c r="AG122" s="238"/>
      <c r="AH122" s="237"/>
      <c r="AI122" s="238"/>
      <c r="AJ122" s="238"/>
      <c r="AK122" s="238"/>
      <c r="AL122" s="161"/>
    </row>
    <row r="123" spans="2:48" x14ac:dyDescent="0.35">
      <c r="W123" s="237"/>
      <c r="X123" s="237"/>
      <c r="Y123" s="237"/>
      <c r="Z123" s="237"/>
      <c r="AA123" s="237"/>
      <c r="AB123" s="237"/>
      <c r="AC123" s="237"/>
      <c r="AD123" s="237"/>
      <c r="AE123" s="237"/>
      <c r="AF123" s="238"/>
      <c r="AG123" s="238"/>
      <c r="AH123" s="237"/>
      <c r="AI123" s="237"/>
      <c r="AJ123" s="238"/>
      <c r="AK123" s="238"/>
      <c r="AL123" s="161"/>
    </row>
    <row r="124" spans="2:48" x14ac:dyDescent="0.35">
      <c r="W124" s="237"/>
      <c r="X124" s="237"/>
      <c r="Y124" s="237"/>
      <c r="Z124" s="237"/>
      <c r="AA124" s="237"/>
      <c r="AB124" s="237"/>
      <c r="AC124" s="237"/>
      <c r="AD124" s="237"/>
      <c r="AE124" s="237"/>
      <c r="AF124" s="238"/>
      <c r="AG124" s="238"/>
      <c r="AH124" s="237"/>
      <c r="AI124" s="237"/>
      <c r="AJ124" s="238"/>
      <c r="AK124" s="238"/>
      <c r="AL124" s="161"/>
    </row>
    <row r="125" spans="2:48" x14ac:dyDescent="0.35">
      <c r="W125" s="237"/>
      <c r="X125" s="237"/>
      <c r="Y125" s="237"/>
      <c r="Z125" s="237"/>
      <c r="AA125" s="237"/>
      <c r="AB125" s="237"/>
      <c r="AC125" s="237"/>
      <c r="AD125" s="237"/>
      <c r="AE125" s="237"/>
      <c r="AF125" s="238"/>
      <c r="AG125" s="238"/>
      <c r="AJ125" s="238"/>
      <c r="AK125" s="238"/>
      <c r="AL125" s="161"/>
    </row>
    <row r="126" spans="2:48" x14ac:dyDescent="0.35">
      <c r="W126" s="237"/>
      <c r="X126" s="237"/>
      <c r="Y126" s="237"/>
      <c r="Z126" s="237"/>
      <c r="AA126" s="237"/>
      <c r="AB126" s="237"/>
      <c r="AC126" s="237"/>
      <c r="AD126" s="237"/>
      <c r="AE126" s="237"/>
      <c r="AF126" s="238"/>
      <c r="AG126" s="238"/>
      <c r="AJ126" s="238"/>
      <c r="AK126" s="238"/>
      <c r="AL126" s="161"/>
    </row>
    <row r="127" spans="2:48" x14ac:dyDescent="0.35">
      <c r="W127" s="237"/>
      <c r="X127" s="237"/>
      <c r="Y127" s="238"/>
      <c r="Z127" s="238"/>
      <c r="AA127" s="238"/>
      <c r="AB127" s="238"/>
      <c r="AC127" s="238"/>
      <c r="AD127" s="238"/>
      <c r="AE127" s="238"/>
      <c r="AF127" s="238"/>
      <c r="AG127" s="238"/>
      <c r="AJ127" s="238"/>
      <c r="AK127" s="238"/>
      <c r="AL127" s="161"/>
    </row>
    <row r="128" spans="2:48" x14ac:dyDescent="0.35">
      <c r="Y128" s="237"/>
      <c r="Z128" s="237"/>
      <c r="AA128" s="237"/>
      <c r="AB128" s="237"/>
      <c r="AC128" s="237"/>
      <c r="AD128" s="237"/>
      <c r="AE128" s="237"/>
      <c r="AF128" s="237"/>
      <c r="AG128" s="237"/>
      <c r="AJ128" s="237"/>
      <c r="AK128" s="237"/>
      <c r="AL128" s="241"/>
    </row>
  </sheetData>
  <dataConsolidate/>
  <mergeCells count="59">
    <mergeCell ref="B90:B96"/>
    <mergeCell ref="D90:E90"/>
    <mergeCell ref="C91:C92"/>
    <mergeCell ref="D91:E91"/>
    <mergeCell ref="B84:B88"/>
    <mergeCell ref="C84:C85"/>
    <mergeCell ref="D85:F85"/>
    <mergeCell ref="D88:F88"/>
    <mergeCell ref="D92:E92"/>
    <mergeCell ref="C93:E93"/>
    <mergeCell ref="AH27:AH28"/>
    <mergeCell ref="I25:N25"/>
    <mergeCell ref="AI27:AI28"/>
    <mergeCell ref="AE30:AE32"/>
    <mergeCell ref="C86:C87"/>
    <mergeCell ref="AE51:AF51"/>
    <mergeCell ref="B82:B83"/>
    <mergeCell ref="C82:C83"/>
    <mergeCell ref="AF33:AF38"/>
    <mergeCell ref="AH29:AH30"/>
    <mergeCell ref="AI29:AI30"/>
    <mergeCell ref="AE36:AE39"/>
    <mergeCell ref="AE42:AE45"/>
    <mergeCell ref="B60:G60"/>
    <mergeCell ref="C63:C70"/>
    <mergeCell ref="D70:F70"/>
    <mergeCell ref="C71:C81"/>
    <mergeCell ref="D81:F81"/>
    <mergeCell ref="AE54:AF54"/>
    <mergeCell ref="O2:U2"/>
    <mergeCell ref="F16:G16"/>
    <mergeCell ref="C17:D17"/>
    <mergeCell ref="E18:E19"/>
    <mergeCell ref="F18:G19"/>
    <mergeCell ref="H15:J15"/>
    <mergeCell ref="H16:J20"/>
    <mergeCell ref="D10:J10"/>
    <mergeCell ref="D11:J11"/>
    <mergeCell ref="D12:J12"/>
    <mergeCell ref="F17:G17"/>
    <mergeCell ref="C18:D18"/>
    <mergeCell ref="C19:D19"/>
    <mergeCell ref="C20:D20"/>
    <mergeCell ref="B5:J5"/>
    <mergeCell ref="Y6:AF6"/>
    <mergeCell ref="AE55:AF56"/>
    <mergeCell ref="AE57:AF57"/>
    <mergeCell ref="F20:G20"/>
    <mergeCell ref="C25:D25"/>
    <mergeCell ref="E25:F25"/>
    <mergeCell ref="G25:H25"/>
    <mergeCell ref="C15:D15"/>
    <mergeCell ref="F15:G15"/>
    <mergeCell ref="C16:D16"/>
    <mergeCell ref="Q24:U24"/>
    <mergeCell ref="O25:AA25"/>
    <mergeCell ref="AB25:AD25"/>
    <mergeCell ref="AE50:AF50"/>
    <mergeCell ref="AE52:AF53"/>
  </mergeCells>
  <conditionalFormatting sqref="AF28">
    <cfRule type="expression" dxfId="0" priority="2">
      <formula>$C$24&lt;&gt;"User Defined Mix"</formula>
    </cfRule>
  </conditionalFormatting>
  <dataValidations count="7">
    <dataValidation type="list" allowBlank="1" showInputMessage="1" showErrorMessage="1" sqref="AI27:AI28" xr:uid="{A766E74B-D73C-4A24-BC43-5BC0B5B55AFB}">
      <formula1>"Boil-Off Recovery Equipped, No Boil-Off Recovery"</formula1>
    </dataValidation>
    <dataValidation type="list" allowBlank="1" showDropDown="1" showInputMessage="1" showErrorMessage="1" sqref="H24" xr:uid="{50D2AC5B-85C3-426A-851D-C61F8F5EDD09}">
      <formula1>"Yes,No"</formula1>
    </dataValidation>
    <dataValidation type="list" allowBlank="1" showInputMessage="1" showErrorMessage="1" sqref="AM27" xr:uid="{A72A7637-8017-47EF-9A41-33D1A51B474F}">
      <formula1>"miles, km"</formula1>
    </dataValidation>
    <dataValidation allowBlank="1" showDropDown="1" showInputMessage="1" showErrorMessage="1" sqref="F20:G20" xr:uid="{0533FE0E-9027-437A-86B5-F3DE15E6729B}"/>
    <dataValidation type="list" error="Select 1 (Yes) or 0 (No)." prompt="1 = include avoided methane credits; 0 = exclude (post-crediting period)." sqref="L24" xr:uid="{CEC5A376-31F5-44AC-A8A6-16BF6456CD16}">
      <formula1>"1,0"</formula1>
    </dataValidation>
    <dataValidation type="list" allowBlank="1" showInputMessage="1" showErrorMessage="1" sqref="C24" xr:uid="{5AF970FE-6159-4605-88A4-97EA900A75BC}">
      <formula1>grid_names</formula1>
    </dataValidation>
    <dataValidation type="list" allowBlank="1" showInputMessage="1" showErrorMessage="1" sqref="K87:K88" xr:uid="{18CAA37A-BD00-4C71-97E0-7D1FE56D5E1F}">
      <formula1>"Yes, No"</formula1>
    </dataValidation>
  </dataValidations>
  <pageMargins left="0.2" right="0.2" top="0.25" bottom="0.25" header="0.05" footer="0.3"/>
  <pageSetup scale="21"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61826AFF-3ECE-4695-884D-450C5A6CD477}">
          <x14:formula1>
            <xm:f>Background!#REF!</xm:f>
          </x14:formula1>
          <xm:sqref>AM39:AM45</xm:sqref>
        </x14:dataValidation>
        <x14:dataValidation type="list" allowBlank="1" showInputMessage="1" showErrorMessage="1" xr:uid="{61C49BB7-F1A6-4953-A188-4E75EC7532A3}">
          <x14:formula1>
            <xm:f>Background!$C$82:$C$132</xm:f>
          </x14:formula1>
          <xm:sqref>C19:D19</xm:sqref>
        </x14:dataValidation>
        <x14:dataValidation type="list" allowBlank="1" showInputMessage="1" showErrorMessage="1" xr:uid="{68BB1AC4-DA6B-4D72-8B16-4B7D7DC29CC3}">
          <x14:formula1>
            <xm:f>Background!$B$49:$B$55</xm:f>
          </x14:formula1>
          <xm:sqref>X27</xm:sqref>
        </x14:dataValidation>
        <x14:dataValidation type="list" allowBlank="1" showInputMessage="1" showErrorMessage="1" xr:uid="{AA2D9384-9717-40B3-A6AF-92136811EF60}">
          <x14:formula1>
            <xm:f>Background!$B$52:$B$55</xm:f>
          </x14:formula1>
          <xm:sqref>U27 N27</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9F62D-B7AE-4EA7-B326-DE375882C540}">
  <sheetPr codeName="EF_Table">
    <tabColor theme="5" tint="0.39997558519241921"/>
  </sheetPr>
  <dimension ref="A1:AU200"/>
  <sheetViews>
    <sheetView showGridLines="0" zoomScale="79" zoomScaleNormal="100" workbookViewId="0">
      <pane ySplit="1" topLeftCell="A2" activePane="bottomLeft" state="frozen"/>
      <selection pane="bottomLeft" activeCell="L13" sqref="L13"/>
    </sheetView>
  </sheetViews>
  <sheetFormatPr defaultColWidth="9.1796875" defaultRowHeight="14.5" x14ac:dyDescent="0.35"/>
  <cols>
    <col min="1" max="1" width="9.1796875" style="242" customWidth="1"/>
    <col min="2" max="2" width="19.54296875" style="243" customWidth="1"/>
    <col min="3" max="3" width="24.453125" style="243" customWidth="1"/>
    <col min="4" max="4" width="16.7265625" style="243" customWidth="1"/>
    <col min="5" max="5" width="17.26953125" style="243" bestFit="1" customWidth="1"/>
    <col min="6" max="6" width="20" style="243" customWidth="1"/>
    <col min="7" max="7" width="17.7265625" style="243" customWidth="1"/>
    <col min="8" max="8" width="20.453125" style="243" customWidth="1"/>
    <col min="9" max="9" width="19.453125" style="243" bestFit="1" customWidth="1"/>
    <col min="10" max="10" width="22.7265625" style="243" customWidth="1"/>
    <col min="11" max="11" width="22.26953125" style="243" bestFit="1" customWidth="1"/>
    <col min="12" max="12" width="22.7265625" style="243" customWidth="1"/>
    <col min="13" max="14" width="9.1796875" style="243" customWidth="1"/>
    <col min="15" max="15" width="28.81640625" style="243" bestFit="1" customWidth="1"/>
    <col min="16" max="16" width="9.81640625" style="243" bestFit="1" customWidth="1"/>
    <col min="17" max="17" width="9.7265625" style="243" bestFit="1" customWidth="1"/>
    <col min="18" max="18" width="7.7265625" style="243" customWidth="1"/>
    <col min="19" max="19" width="12" style="243" customWidth="1"/>
    <col min="20" max="20" width="13.26953125" style="243" bestFit="1" customWidth="1"/>
    <col min="21" max="21" width="11.54296875" style="243" customWidth="1"/>
    <col min="22" max="22" width="16.453125" style="243" customWidth="1"/>
    <col min="23" max="24" width="15.26953125" style="243" bestFit="1" customWidth="1"/>
    <col min="25" max="25" width="14.453125" style="243" bestFit="1" customWidth="1"/>
    <col min="26" max="26" width="15" style="243" customWidth="1"/>
    <col min="27" max="28" width="10.54296875" style="243" bestFit="1" customWidth="1"/>
    <col min="29" max="29" width="15.453125" style="243" customWidth="1"/>
    <col min="30" max="30" width="10.54296875" style="243" bestFit="1" customWidth="1"/>
    <col min="31" max="32" width="10.54296875" style="243" customWidth="1"/>
    <col min="33" max="33" width="11" style="243" bestFit="1" customWidth="1"/>
    <col min="34" max="34" width="17.453125" style="243" bestFit="1" customWidth="1"/>
    <col min="35" max="35" width="20.453125" style="243" bestFit="1" customWidth="1"/>
    <col min="36" max="36" width="9.1796875" style="243"/>
    <col min="37" max="37" width="17.453125" style="243" bestFit="1" customWidth="1"/>
    <col min="38" max="16384" width="9.1796875" style="243"/>
  </cols>
  <sheetData>
    <row r="1" spans="1:47" ht="30" customHeight="1" x14ac:dyDescent="0.35"/>
    <row r="2" spans="1:47" s="245" customFormat="1" ht="21" x14ac:dyDescent="0.5">
      <c r="A2" s="244"/>
      <c r="B2" s="1011" t="s">
        <v>566</v>
      </c>
      <c r="C2" s="1011"/>
      <c r="D2" s="1011"/>
      <c r="E2" s="1011"/>
      <c r="G2" s="243"/>
      <c r="H2" s="243"/>
      <c r="I2" s="243"/>
      <c r="J2" s="243"/>
      <c r="K2" s="243"/>
      <c r="L2" s="243"/>
      <c r="M2" s="243"/>
      <c r="O2" s="619" t="s">
        <v>497</v>
      </c>
      <c r="P2" s="620" t="s">
        <v>321</v>
      </c>
      <c r="Q2" s="620" t="s">
        <v>322</v>
      </c>
      <c r="R2" s="620" t="s">
        <v>320</v>
      </c>
      <c r="S2" s="621" t="s">
        <v>490</v>
      </c>
      <c r="T2" s="248"/>
      <c r="V2" s="619" t="s">
        <v>492</v>
      </c>
      <c r="W2" s="619"/>
      <c r="X2"/>
      <c r="Y2"/>
      <c r="Z2"/>
      <c r="AA2"/>
      <c r="AB2"/>
      <c r="AC2"/>
      <c r="AD2"/>
      <c r="AG2" s="243"/>
      <c r="AH2" s="243"/>
      <c r="AI2" s="243"/>
      <c r="AJ2" s="243"/>
      <c r="AK2" s="243"/>
      <c r="AL2" s="243"/>
      <c r="AM2" s="243"/>
      <c r="AN2" s="243"/>
      <c r="AO2" s="243"/>
      <c r="AP2" s="243"/>
      <c r="AQ2" s="243"/>
      <c r="AR2" s="243"/>
      <c r="AS2" s="243"/>
      <c r="AT2" s="243"/>
      <c r="AU2" s="243"/>
    </row>
    <row r="3" spans="1:47" ht="15.5" x14ac:dyDescent="0.35">
      <c r="C3" s="246"/>
      <c r="D3" s="246"/>
      <c r="E3" s="246"/>
      <c r="F3" s="246"/>
      <c r="G3" s="246"/>
      <c r="I3" s="246"/>
      <c r="J3" s="246"/>
      <c r="K3" s="246"/>
      <c r="L3" s="246"/>
      <c r="O3" s="622" t="s">
        <v>323</v>
      </c>
      <c r="P3" s="620" t="s">
        <v>499</v>
      </c>
      <c r="Q3" s="620" t="s">
        <v>499</v>
      </c>
      <c r="R3" s="620" t="s">
        <v>500</v>
      </c>
      <c r="S3" s="620" t="s">
        <v>491</v>
      </c>
      <c r="T3" s="248"/>
      <c r="U3"/>
      <c r="V3" s="623" t="s">
        <v>329</v>
      </c>
      <c r="W3" s="620" t="s">
        <v>330</v>
      </c>
      <c r="X3" s="620" t="s">
        <v>331</v>
      </c>
      <c r="Y3" s="620" t="s">
        <v>332</v>
      </c>
      <c r="Z3" s="620" t="s">
        <v>333</v>
      </c>
      <c r="AA3" s="620" t="s">
        <v>334</v>
      </c>
      <c r="AB3" s="249"/>
      <c r="AC3" s="249"/>
      <c r="AD3"/>
      <c r="AE3"/>
    </row>
    <row r="4" spans="1:47" ht="18" customHeight="1" x14ac:dyDescent="0.35">
      <c r="B4" s="1014" t="s">
        <v>555</v>
      </c>
      <c r="C4" s="624" t="s">
        <v>276</v>
      </c>
      <c r="D4" s="625">
        <v>439.88545354407819</v>
      </c>
      <c r="E4" s="1014" t="s">
        <v>598</v>
      </c>
      <c r="O4" s="626" t="s">
        <v>486</v>
      </c>
      <c r="P4" s="627">
        <v>128450</v>
      </c>
      <c r="Q4" s="627">
        <v>137380</v>
      </c>
      <c r="R4" s="627">
        <v>3167</v>
      </c>
      <c r="S4" s="628">
        <v>0.86499999999999999</v>
      </c>
      <c r="T4" s="248"/>
      <c r="U4" s="248"/>
      <c r="V4" s="620" t="s">
        <v>330</v>
      </c>
      <c r="W4" s="629">
        <v>1</v>
      </c>
      <c r="X4" s="629">
        <v>1000</v>
      </c>
      <c r="Y4" s="629">
        <v>1000000</v>
      </c>
      <c r="Z4" s="630">
        <v>453.59237000000002</v>
      </c>
      <c r="AA4" s="629">
        <f>Z4*2000</f>
        <v>907184.74</v>
      </c>
      <c r="AB4" s="249"/>
      <c r="AC4" s="249"/>
      <c r="AD4"/>
      <c r="AE4"/>
    </row>
    <row r="5" spans="1:47" ht="18" customHeight="1" x14ac:dyDescent="0.35">
      <c r="B5" s="1015"/>
      <c r="C5" s="624" t="s">
        <v>277</v>
      </c>
      <c r="D5" s="631"/>
      <c r="E5" s="1015"/>
      <c r="O5" s="626" t="s">
        <v>480</v>
      </c>
      <c r="P5" s="627">
        <v>116090</v>
      </c>
      <c r="Q5" s="627">
        <v>124340</v>
      </c>
      <c r="R5" s="627">
        <v>2819</v>
      </c>
      <c r="S5" s="628">
        <v>0.86299999999999999</v>
      </c>
      <c r="T5" s="248"/>
      <c r="U5" s="248"/>
      <c r="V5" s="620" t="s">
        <v>331</v>
      </c>
      <c r="W5" s="632">
        <f>W4/X4</f>
        <v>1E-3</v>
      </c>
      <c r="X5" s="629">
        <v>1</v>
      </c>
      <c r="Y5" s="629">
        <f>Y4/X4</f>
        <v>1000</v>
      </c>
      <c r="Z5" s="632">
        <f>Z4/X4</f>
        <v>0.45359237000000002</v>
      </c>
      <c r="AA5" s="632">
        <f>AA4/X4</f>
        <v>907.18474000000003</v>
      </c>
      <c r="AB5" s="249"/>
      <c r="AC5" s="249"/>
      <c r="AD5"/>
      <c r="AE5"/>
    </row>
    <row r="6" spans="1:47" ht="18" customHeight="1" x14ac:dyDescent="0.35">
      <c r="B6" s="1015"/>
      <c r="C6" s="624" t="s">
        <v>278</v>
      </c>
      <c r="D6" s="625">
        <v>608.76119197218861</v>
      </c>
      <c r="E6" s="1015"/>
      <c r="O6" s="626" t="s">
        <v>487</v>
      </c>
      <c r="P6" s="627">
        <f>LHV_CBOB*(1-0.098)+LHV_EtOH*0.098</f>
        <v>112193.52</v>
      </c>
      <c r="Q6" s="627">
        <f>HHV_CBOB*(1-0.098)+HHV_EtOH*0.098</f>
        <v>120438.62000000001</v>
      </c>
      <c r="R6" s="627">
        <f>density_CBOB*(1-0.098)+R11*0.098</f>
        <v>2731.1920000000005</v>
      </c>
      <c r="S6" s="628">
        <f>CContent_CBOB*(1-0.1033)+CContent_LPG*0.1033</f>
        <v>0.85855809999999999</v>
      </c>
      <c r="T6" s="248"/>
      <c r="U6" s="248"/>
      <c r="V6" s="620" t="s">
        <v>332</v>
      </c>
      <c r="W6" s="633">
        <f>W4/Y4</f>
        <v>9.9999999999999995E-7</v>
      </c>
      <c r="X6" s="632">
        <f>X4/Y4</f>
        <v>1E-3</v>
      </c>
      <c r="Y6" s="629">
        <v>1</v>
      </c>
      <c r="Z6" s="634">
        <f>Z4/Y4</f>
        <v>4.5359237000000004E-4</v>
      </c>
      <c r="AA6" s="632">
        <f>AA4/Y4</f>
        <v>0.90718474000000004</v>
      </c>
      <c r="AB6" s="249"/>
      <c r="AC6" s="249"/>
      <c r="AD6"/>
      <c r="AE6"/>
    </row>
    <row r="7" spans="1:47" ht="18" customHeight="1" x14ac:dyDescent="0.35">
      <c r="B7" s="1015"/>
      <c r="C7" s="624" t="s">
        <v>279</v>
      </c>
      <c r="D7" s="625">
        <v>321.91455645657464</v>
      </c>
      <c r="E7" s="1015"/>
      <c r="O7" s="626" t="s">
        <v>324</v>
      </c>
      <c r="P7" s="627">
        <f>Q7*P4/Q4</f>
        <v>129487.84757606639</v>
      </c>
      <c r="Q7" s="627">
        <v>138490</v>
      </c>
      <c r="R7" s="627">
        <v>3206</v>
      </c>
      <c r="S7" s="628">
        <v>0.871</v>
      </c>
      <c r="T7" s="248"/>
      <c r="U7" s="248"/>
      <c r="V7" s="620" t="s">
        <v>333</v>
      </c>
      <c r="W7" s="634">
        <f>W4/Z4</f>
        <v>2.2046226218487759E-3</v>
      </c>
      <c r="X7" s="632">
        <f>X4/Z4</f>
        <v>2.2046226218487757</v>
      </c>
      <c r="Y7" s="629">
        <f>Y4/Z4</f>
        <v>2204.6226218487759</v>
      </c>
      <c r="Z7" s="629">
        <v>1</v>
      </c>
      <c r="AA7" s="629">
        <f>AA4/Z4</f>
        <v>2000</v>
      </c>
      <c r="AB7" s="249"/>
      <c r="AC7" s="249"/>
      <c r="AD7"/>
      <c r="AE7"/>
    </row>
    <row r="8" spans="1:47" ht="18" customHeight="1" x14ac:dyDescent="0.35">
      <c r="B8" s="1015"/>
      <c r="C8" s="624" t="s">
        <v>280</v>
      </c>
      <c r="D8" s="625">
        <v>434.32374433113711</v>
      </c>
      <c r="E8" s="1015"/>
      <c r="O8" s="626" t="s">
        <v>481</v>
      </c>
      <c r="P8" s="627">
        <f>Q8*P4/Q4</f>
        <v>140352.52220119376</v>
      </c>
      <c r="Q8" s="627">
        <v>150110</v>
      </c>
      <c r="R8" s="627">
        <v>3752</v>
      </c>
      <c r="S8" s="628">
        <v>0.86799999999999999</v>
      </c>
      <c r="T8" s="248"/>
      <c r="U8" s="248"/>
      <c r="V8" s="620" t="s">
        <v>334</v>
      </c>
      <c r="W8" s="634">
        <f>W4/AA4</f>
        <v>1.102311310924388E-6</v>
      </c>
      <c r="X8" s="634">
        <f>X4/AA4</f>
        <v>1.1023113109243879E-3</v>
      </c>
      <c r="Y8" s="632">
        <f>Y4/AA4</f>
        <v>1.1023113109243878</v>
      </c>
      <c r="Z8" s="634">
        <f>Z4/AA4</f>
        <v>5.0000000000000001E-4</v>
      </c>
      <c r="AA8" s="629">
        <v>1</v>
      </c>
      <c r="AB8" s="249"/>
      <c r="AC8" s="249"/>
      <c r="AD8" s="250"/>
      <c r="AE8"/>
    </row>
    <row r="9" spans="1:47" ht="18" customHeight="1" x14ac:dyDescent="0.35">
      <c r="B9" s="1015"/>
      <c r="C9" s="624" t="s">
        <v>238</v>
      </c>
      <c r="D9" s="625">
        <v>312.8165350887943</v>
      </c>
      <c r="E9" s="1015"/>
      <c r="O9" s="626" t="s">
        <v>482</v>
      </c>
      <c r="P9" s="627">
        <v>57250</v>
      </c>
      <c r="Q9" s="627">
        <v>65200</v>
      </c>
      <c r="R9" s="627">
        <v>3006</v>
      </c>
      <c r="S9" s="628">
        <v>0.375</v>
      </c>
      <c r="T9" s="248"/>
      <c r="U9" s="248"/>
      <c r="V9" s="249"/>
      <c r="W9" s="249"/>
      <c r="X9" s="249"/>
      <c r="Y9" s="249"/>
      <c r="Z9" s="249"/>
      <c r="AA9" s="249"/>
      <c r="AB9" s="249"/>
      <c r="AC9" s="249"/>
      <c r="AD9"/>
      <c r="AE9"/>
    </row>
    <row r="10" spans="1:47" ht="18" customHeight="1" x14ac:dyDescent="0.35">
      <c r="B10" s="1015"/>
      <c r="C10" s="624" t="s">
        <v>281</v>
      </c>
      <c r="D10" s="625">
        <v>453.16309656015466</v>
      </c>
      <c r="E10" s="1015"/>
      <c r="O10" s="626" t="s">
        <v>483</v>
      </c>
      <c r="P10" s="627">
        <v>76330</v>
      </c>
      <c r="Q10" s="627">
        <v>84530</v>
      </c>
      <c r="R10" s="627">
        <v>2988</v>
      </c>
      <c r="S10" s="628">
        <v>0.52200000000000002</v>
      </c>
      <c r="T10" s="248"/>
      <c r="U10" s="248"/>
      <c r="V10" s="623" t="s">
        <v>340</v>
      </c>
      <c r="W10" s="620" t="s">
        <v>341</v>
      </c>
      <c r="X10" s="620" t="s">
        <v>342</v>
      </c>
      <c r="Y10" s="620" t="s">
        <v>343</v>
      </c>
      <c r="Z10" s="620" t="s">
        <v>344</v>
      </c>
      <c r="AA10" s="620" t="s">
        <v>29</v>
      </c>
      <c r="AB10" s="620" t="s">
        <v>512</v>
      </c>
      <c r="AC10" s="620" t="s">
        <v>513</v>
      </c>
      <c r="AD10" s="620" t="s">
        <v>473</v>
      </c>
      <c r="AE10"/>
    </row>
    <row r="11" spans="1:47" ht="15.5" x14ac:dyDescent="0.35">
      <c r="B11" s="1015"/>
      <c r="C11" s="624" t="s">
        <v>282</v>
      </c>
      <c r="D11" s="625">
        <v>497.67089248426942</v>
      </c>
      <c r="E11" s="1015"/>
      <c r="O11" s="626" t="s">
        <v>325</v>
      </c>
      <c r="P11" s="627">
        <v>84950</v>
      </c>
      <c r="Q11" s="627">
        <v>91410</v>
      </c>
      <c r="R11" s="627">
        <v>1923</v>
      </c>
      <c r="S11" s="628">
        <v>0.82</v>
      </c>
      <c r="T11" s="248"/>
      <c r="U11" s="248"/>
      <c r="V11" s="620" t="s">
        <v>341</v>
      </c>
      <c r="W11" s="629">
        <v>1</v>
      </c>
      <c r="X11" s="629">
        <v>1000</v>
      </c>
      <c r="Y11" s="629">
        <v>1000000</v>
      </c>
      <c r="Z11" s="629">
        <v>3600</v>
      </c>
      <c r="AA11" s="629">
        <f>Wh2J*10^3</f>
        <v>3600000</v>
      </c>
      <c r="AB11" s="629">
        <v>1055.05585</v>
      </c>
      <c r="AC11" s="634">
        <f>Btu2J*10^6</f>
        <v>1055055850</v>
      </c>
      <c r="AD11" s="634">
        <f>1/W18</f>
        <v>2684519.5376862194</v>
      </c>
      <c r="AE11"/>
    </row>
    <row r="12" spans="1:47" ht="15.5" x14ac:dyDescent="0.35">
      <c r="B12" s="1015"/>
      <c r="C12" s="624" t="s">
        <v>283</v>
      </c>
      <c r="D12" s="625">
        <v>749.5206468107923</v>
      </c>
      <c r="E12" s="1015"/>
      <c r="O12" s="626" t="s">
        <v>326</v>
      </c>
      <c r="P12" s="627">
        <v>74720</v>
      </c>
      <c r="Q12" s="627">
        <v>84820</v>
      </c>
      <c r="R12" s="627">
        <v>1621</v>
      </c>
      <c r="S12" s="628">
        <v>0.75</v>
      </c>
      <c r="T12" s="248"/>
      <c r="U12" s="248"/>
      <c r="V12" s="620" t="s">
        <v>342</v>
      </c>
      <c r="W12" s="632">
        <f>W11/X11</f>
        <v>1E-3</v>
      </c>
      <c r="X12" s="629">
        <v>1</v>
      </c>
      <c r="Y12" s="629">
        <f>Y11/X11</f>
        <v>1000</v>
      </c>
      <c r="Z12" s="630">
        <f>Z11/X11</f>
        <v>3.6</v>
      </c>
      <c r="AA12" s="629">
        <f>AA11/X11</f>
        <v>3600</v>
      </c>
      <c r="AB12" s="632">
        <f>AB11/X11</f>
        <v>1.05505585</v>
      </c>
      <c r="AC12" s="634">
        <f>AC11/X11</f>
        <v>1055055.8500000001</v>
      </c>
      <c r="AD12" s="629">
        <f>1/X18</f>
        <v>2684.5195376862198</v>
      </c>
      <c r="AE12"/>
    </row>
    <row r="13" spans="1:47" ht="15.5" x14ac:dyDescent="0.35">
      <c r="B13" s="1015"/>
      <c r="C13" s="624" t="s">
        <v>284</v>
      </c>
      <c r="D13" s="625">
        <v>1004.3587619618944</v>
      </c>
      <c r="E13" s="1015"/>
      <c r="O13" s="626" t="s">
        <v>489</v>
      </c>
      <c r="P13" s="627">
        <v>119624</v>
      </c>
      <c r="Q13" s="627">
        <v>127960</v>
      </c>
      <c r="R13" s="627">
        <v>3335.2646966100001</v>
      </c>
      <c r="S13" s="628">
        <v>0.77600000000000002</v>
      </c>
      <c r="T13" s="248"/>
      <c r="U13" s="248"/>
      <c r="V13" s="620" t="s">
        <v>343</v>
      </c>
      <c r="W13" s="633">
        <f>W11/Y11</f>
        <v>9.9999999999999995E-7</v>
      </c>
      <c r="X13" s="632">
        <f>X11/Y11</f>
        <v>1E-3</v>
      </c>
      <c r="Y13" s="629">
        <v>1</v>
      </c>
      <c r="Z13" s="635">
        <f>Z11/Y11</f>
        <v>3.5999999999999999E-3</v>
      </c>
      <c r="AA13" s="630">
        <f>AA11/Y11</f>
        <v>3.6</v>
      </c>
      <c r="AB13" s="633">
        <f>AB11/Y11</f>
        <v>1.0550558499999999E-3</v>
      </c>
      <c r="AC13" s="629">
        <f>AC11/Y11</f>
        <v>1055.05585</v>
      </c>
      <c r="AD13" s="632">
        <f>1/Y18</f>
        <v>2.6845195376862194</v>
      </c>
      <c r="AE13"/>
    </row>
    <row r="14" spans="1:47" ht="15.5" x14ac:dyDescent="0.35">
      <c r="B14" s="1015"/>
      <c r="C14" s="624" t="s">
        <v>285</v>
      </c>
      <c r="D14" s="625">
        <v>793.21341764701663</v>
      </c>
      <c r="E14" s="1015"/>
      <c r="O14" s="626" t="s">
        <v>488</v>
      </c>
      <c r="P14" s="627">
        <v>122887</v>
      </c>
      <c r="Q14" s="627">
        <v>130817</v>
      </c>
      <c r="R14" s="627">
        <v>2948</v>
      </c>
      <c r="S14" s="628">
        <v>0.871</v>
      </c>
      <c r="T14" s="248"/>
      <c r="U14" s="248"/>
      <c r="V14" s="620" t="s">
        <v>344</v>
      </c>
      <c r="W14" s="634">
        <f>W11/Z11</f>
        <v>2.7777777777777778E-4</v>
      </c>
      <c r="X14" s="632">
        <f>X11/Z11</f>
        <v>0.27777777777777779</v>
      </c>
      <c r="Y14" s="629">
        <f>Y11/Z11</f>
        <v>277.77777777777777</v>
      </c>
      <c r="Z14" s="629">
        <v>1</v>
      </c>
      <c r="AA14" s="629">
        <f>AA11/Z11</f>
        <v>1000</v>
      </c>
      <c r="AB14" s="636">
        <f>AB11/Z11</f>
        <v>0.29307106944444444</v>
      </c>
      <c r="AC14" s="634">
        <f>AC11/Z11</f>
        <v>293071.06944444444</v>
      </c>
      <c r="AD14" s="630">
        <f>1/Z18</f>
        <v>745.69987157950538</v>
      </c>
      <c r="AE14"/>
    </row>
    <row r="15" spans="1:47" ht="15.5" x14ac:dyDescent="0.35">
      <c r="B15" s="1015"/>
      <c r="C15" s="624" t="s">
        <v>286</v>
      </c>
      <c r="D15" s="625">
        <v>502.8813759227682</v>
      </c>
      <c r="E15" s="1015"/>
      <c r="O15" s="626" t="s">
        <v>485</v>
      </c>
      <c r="P15" s="627">
        <v>84250</v>
      </c>
      <c r="Q15" s="627">
        <v>91420</v>
      </c>
      <c r="R15" s="627">
        <v>1920</v>
      </c>
      <c r="S15" s="628">
        <v>0.81799999999999995</v>
      </c>
      <c r="T15" s="248"/>
      <c r="U15" s="248"/>
      <c r="V15" s="620" t="s">
        <v>29</v>
      </c>
      <c r="W15" s="634">
        <f>W11/AA11</f>
        <v>2.7777777777777776E-7</v>
      </c>
      <c r="X15" s="634">
        <f>X11/AA11</f>
        <v>2.7777777777777778E-4</v>
      </c>
      <c r="Y15" s="632">
        <f>Y11/AA11</f>
        <v>0.27777777777777779</v>
      </c>
      <c r="Z15" s="632">
        <f>Z11/AA11</f>
        <v>1E-3</v>
      </c>
      <c r="AA15" s="629">
        <v>1</v>
      </c>
      <c r="AB15" s="634">
        <f>AB11/AA11</f>
        <v>2.9307106944444444E-4</v>
      </c>
      <c r="AC15" s="630">
        <f>AC11/AA11</f>
        <v>293.07106944444445</v>
      </c>
      <c r="AD15" s="636">
        <f>1/AA18</f>
        <v>0.74569987157950535</v>
      </c>
      <c r="AE15"/>
    </row>
    <row r="16" spans="1:47" ht="15.5" x14ac:dyDescent="0.35">
      <c r="B16" s="1015"/>
      <c r="C16" s="624" t="s">
        <v>287</v>
      </c>
      <c r="D16" s="625">
        <v>323.95034733012585</v>
      </c>
      <c r="E16" s="1015"/>
      <c r="O16" s="626" t="s">
        <v>484</v>
      </c>
      <c r="P16" s="627">
        <v>94970</v>
      </c>
      <c r="Q16" s="627">
        <v>103220</v>
      </c>
      <c r="R16" s="627">
        <v>2213</v>
      </c>
      <c r="S16" s="628">
        <v>0.82799999999999996</v>
      </c>
      <c r="T16" s="248"/>
      <c r="U16" s="248"/>
      <c r="V16" s="620" t="s">
        <v>512</v>
      </c>
      <c r="W16" s="634">
        <f>W11/AB11</f>
        <v>9.4781712266701337E-4</v>
      </c>
      <c r="X16" s="632">
        <f>X11/AB11</f>
        <v>0.94781712266701335</v>
      </c>
      <c r="Y16" s="629">
        <f>Y11/AB11</f>
        <v>947.81712266701334</v>
      </c>
      <c r="Z16" s="632">
        <f>Z11/AB11</f>
        <v>3.4121416416012482</v>
      </c>
      <c r="AA16" s="629">
        <f>AA11/AB11</f>
        <v>3412.141641601248</v>
      </c>
      <c r="AB16" s="629">
        <v>1</v>
      </c>
      <c r="AC16" s="629">
        <f>AC11/AB11</f>
        <v>1000000</v>
      </c>
      <c r="AD16" s="629">
        <f>1/AB18</f>
        <v>2544.4335839531336</v>
      </c>
      <c r="AE16"/>
    </row>
    <row r="17" spans="2:31" ht="409.5" x14ac:dyDescent="0.35">
      <c r="B17" s="1015"/>
      <c r="C17" s="624" t="s">
        <v>288</v>
      </c>
      <c r="D17" s="625">
        <v>331.18939252645737</v>
      </c>
      <c r="E17" s="1015"/>
      <c r="O17" s="637" t="s">
        <v>656</v>
      </c>
      <c r="P17" s="638" t="s">
        <v>518</v>
      </c>
      <c r="Q17" s="638" t="s">
        <v>518</v>
      </c>
      <c r="R17" s="638" t="s">
        <v>517</v>
      </c>
      <c r="S17" s="639"/>
      <c r="T17" s="248"/>
      <c r="U17" s="248"/>
      <c r="V17" s="620" t="s">
        <v>513</v>
      </c>
      <c r="W17" s="634">
        <f t="shared" ref="W17:AB17" si="0">W11/$AC11</f>
        <v>9.4781712266701324E-10</v>
      </c>
      <c r="X17" s="634">
        <f t="shared" si="0"/>
        <v>9.4781712266701337E-7</v>
      </c>
      <c r="Y17" s="634">
        <f t="shared" si="0"/>
        <v>9.4781712266701326E-4</v>
      </c>
      <c r="Z17" s="634">
        <f t="shared" si="0"/>
        <v>3.4121416416012478E-6</v>
      </c>
      <c r="AA17" s="640">
        <f t="shared" si="0"/>
        <v>3.4121416416012479E-3</v>
      </c>
      <c r="AB17" s="633">
        <f t="shared" si="0"/>
        <v>9.9999999999999995E-7</v>
      </c>
      <c r="AC17" s="629">
        <v>1</v>
      </c>
      <c r="AD17" s="629">
        <f>1/AC18</f>
        <v>2.5444335839531337E-3</v>
      </c>
      <c r="AE17"/>
    </row>
    <row r="18" spans="2:31" ht="15.5" x14ac:dyDescent="0.35">
      <c r="B18" s="1015"/>
      <c r="C18" s="624" t="s">
        <v>289</v>
      </c>
      <c r="D18" s="625">
        <v>491.8899141276421</v>
      </c>
      <c r="E18" s="1015"/>
      <c r="O18" s="626" t="s">
        <v>327</v>
      </c>
      <c r="P18" s="627">
        <v>930</v>
      </c>
      <c r="Q18" s="627">
        <v>1030</v>
      </c>
      <c r="R18" s="641">
        <v>20.8</v>
      </c>
      <c r="S18" s="628">
        <v>0.72399999999999998</v>
      </c>
      <c r="T18" s="248"/>
      <c r="U18" s="248"/>
      <c r="V18" s="620" t="s">
        <v>473</v>
      </c>
      <c r="W18" s="634">
        <f>AA18/AA11</f>
        <v>3.72506136E-7</v>
      </c>
      <c r="X18" s="642">
        <f>Y18/1000</f>
        <v>3.7250613599999999E-4</v>
      </c>
      <c r="Y18" s="632">
        <f>AA18/AA13</f>
        <v>0.37250613599999999</v>
      </c>
      <c r="Z18" s="634">
        <f>AA18/AA14</f>
        <v>1.3410220896E-3</v>
      </c>
      <c r="AA18" s="632">
        <v>1.3410220896</v>
      </c>
      <c r="AB18" s="634">
        <f>AA18/kWh2Btu</f>
        <v>3.9301477794769559E-4</v>
      </c>
      <c r="AC18" s="629">
        <f>AB18*10^6</f>
        <v>393.01477794769556</v>
      </c>
      <c r="AD18" s="629">
        <v>1</v>
      </c>
      <c r="AE18"/>
    </row>
    <row r="19" spans="2:31" ht="15.5" x14ac:dyDescent="0.35">
      <c r="B19" s="1015"/>
      <c r="C19" s="624" t="s">
        <v>290</v>
      </c>
      <c r="D19" s="625">
        <v>568.33890576114197</v>
      </c>
      <c r="E19" s="1015"/>
      <c r="O19" s="626" t="s">
        <v>328</v>
      </c>
      <c r="P19" s="627">
        <v>910</v>
      </c>
      <c r="Q19" s="627">
        <v>1010</v>
      </c>
      <c r="R19" s="641">
        <v>19.2</v>
      </c>
      <c r="S19" s="628">
        <v>0.75</v>
      </c>
      <c r="T19" s="248"/>
      <c r="U19" s="248"/>
      <c r="V19"/>
      <c r="W19"/>
      <c r="X19"/>
      <c r="Y19"/>
      <c r="Z19"/>
      <c r="AA19"/>
      <c r="AB19"/>
      <c r="AC19"/>
      <c r="AD19"/>
      <c r="AE19"/>
    </row>
    <row r="20" spans="2:31" ht="15.5" x14ac:dyDescent="0.35">
      <c r="B20" s="1015"/>
      <c r="C20" s="624" t="s">
        <v>291</v>
      </c>
      <c r="D20" s="625">
        <v>145.34696366831278</v>
      </c>
      <c r="E20" s="1015"/>
      <c r="T20" s="248"/>
      <c r="U20" s="248"/>
      <c r="V20" s="623" t="s">
        <v>335</v>
      </c>
      <c r="W20" s="620" t="s">
        <v>336</v>
      </c>
      <c r="X20" s="620" t="s">
        <v>514</v>
      </c>
      <c r="Y20" s="620" t="s">
        <v>337</v>
      </c>
      <c r="Z20" s="620" t="s">
        <v>338</v>
      </c>
      <c r="AA20" s="620" t="s">
        <v>339</v>
      </c>
      <c r="AB20"/>
      <c r="AC20"/>
      <c r="AD20"/>
      <c r="AE20"/>
    </row>
    <row r="21" spans="2:31" ht="15.5" x14ac:dyDescent="0.35">
      <c r="B21" s="1015"/>
      <c r="C21" s="624" t="s">
        <v>292</v>
      </c>
      <c r="D21" s="625">
        <v>853.01584702183766</v>
      </c>
      <c r="E21" s="1015"/>
      <c r="T21" s="248"/>
      <c r="U21" s="248"/>
      <c r="V21" s="620" t="s">
        <v>336</v>
      </c>
      <c r="W21" s="643">
        <v>1</v>
      </c>
      <c r="X21" s="644">
        <v>9.9999999999999995E-7</v>
      </c>
      <c r="Y21" s="645">
        <v>1E-3</v>
      </c>
      <c r="Z21" s="646">
        <v>3.7854109999999998E-3</v>
      </c>
      <c r="AA21" s="646">
        <v>2.8316846999999999E-2</v>
      </c>
      <c r="AB21"/>
      <c r="AC21"/>
      <c r="AD21"/>
      <c r="AE21"/>
    </row>
    <row r="22" spans="2:31" ht="15.5" x14ac:dyDescent="0.35">
      <c r="B22" s="1015"/>
      <c r="C22" s="624" t="s">
        <v>293</v>
      </c>
      <c r="D22" s="625">
        <v>386.68363632612505</v>
      </c>
      <c r="E22" s="1015"/>
      <c r="T22" s="248"/>
      <c r="U22"/>
      <c r="V22" s="620" t="s">
        <v>514</v>
      </c>
      <c r="W22" s="629">
        <f>W21/X21</f>
        <v>1000000</v>
      </c>
      <c r="X22" s="629">
        <v>1</v>
      </c>
      <c r="Y22" s="629">
        <f>Y21/X21</f>
        <v>1000.0000000000001</v>
      </c>
      <c r="Z22" s="629">
        <f>Z21/X21</f>
        <v>3785.4110000000001</v>
      </c>
      <c r="AA22" s="629">
        <f>AA21/X21</f>
        <v>28316.847000000002</v>
      </c>
      <c r="AB22"/>
      <c r="AC22"/>
      <c r="AD22"/>
      <c r="AE22"/>
    </row>
    <row r="23" spans="2:31" x14ac:dyDescent="0.35">
      <c r="B23" s="1015"/>
      <c r="C23" s="624" t="s">
        <v>294</v>
      </c>
      <c r="D23" s="625">
        <v>632.80385877857555</v>
      </c>
      <c r="E23" s="1015"/>
      <c r="O23"/>
      <c r="P23"/>
      <c r="Q23"/>
      <c r="R23"/>
      <c r="S23"/>
      <c r="T23"/>
      <c r="U23"/>
      <c r="V23" s="620" t="s">
        <v>337</v>
      </c>
      <c r="W23" s="629">
        <f>W21/Y21</f>
        <v>1000</v>
      </c>
      <c r="X23" s="632">
        <f>X21/Y21</f>
        <v>1E-3</v>
      </c>
      <c r="Y23" s="629">
        <v>1</v>
      </c>
      <c r="Z23" s="632">
        <f>Z21/Y21</f>
        <v>3.7854109999999999</v>
      </c>
      <c r="AA23" s="632">
        <f>AA21/Y21</f>
        <v>28.316846999999999</v>
      </c>
      <c r="AB23"/>
      <c r="AC23"/>
      <c r="AD23"/>
      <c r="AE23"/>
    </row>
    <row r="24" spans="2:31" x14ac:dyDescent="0.35">
      <c r="B24" s="1015"/>
      <c r="C24" s="624" t="s">
        <v>295</v>
      </c>
      <c r="D24" s="625">
        <v>558.01608120072456</v>
      </c>
      <c r="E24" s="1015"/>
      <c r="P24"/>
      <c r="R24"/>
      <c r="S24"/>
      <c r="T24"/>
      <c r="U24"/>
      <c r="V24" s="620" t="s">
        <v>338</v>
      </c>
      <c r="W24" s="630">
        <f>W21/Z21</f>
        <v>264.17210707106841</v>
      </c>
      <c r="X24" s="634">
        <f>X21/Z21</f>
        <v>2.6417210707106839E-4</v>
      </c>
      <c r="Y24" s="632">
        <f>Y21/Z21</f>
        <v>0.26417210707106842</v>
      </c>
      <c r="Z24" s="629">
        <v>1</v>
      </c>
      <c r="AA24" s="632">
        <f>AA21/Z21</f>
        <v>7.4805211375990615</v>
      </c>
      <c r="AB24"/>
      <c r="AC24"/>
      <c r="AD24"/>
      <c r="AE24"/>
    </row>
    <row r="25" spans="2:31" x14ac:dyDescent="0.35">
      <c r="B25" s="1015"/>
      <c r="C25" s="624" t="s">
        <v>296</v>
      </c>
      <c r="D25" s="625">
        <v>566.63051532727116</v>
      </c>
      <c r="E25" s="1015"/>
      <c r="O25" s="1009" t="s">
        <v>553</v>
      </c>
      <c r="P25" s="1009"/>
      <c r="Q25"/>
      <c r="R25" s="1009" t="s">
        <v>493</v>
      </c>
      <c r="S25" s="1009"/>
      <c r="T25"/>
      <c r="U25"/>
      <c r="V25" s="620" t="s">
        <v>339</v>
      </c>
      <c r="W25" s="630">
        <f>W21/AA21</f>
        <v>35.314666212661322</v>
      </c>
      <c r="X25" s="634">
        <f>X21/AA21</f>
        <v>3.5314666212661319E-5</v>
      </c>
      <c r="Y25" s="632">
        <f>Y21/AA21</f>
        <v>3.5314666212661321E-2</v>
      </c>
      <c r="Z25" s="636">
        <f>Z21/AA21</f>
        <v>0.13368052594273649</v>
      </c>
      <c r="AA25" s="629">
        <v>1</v>
      </c>
      <c r="AB25"/>
      <c r="AC25"/>
      <c r="AD25"/>
      <c r="AE25"/>
    </row>
    <row r="26" spans="2:31" x14ac:dyDescent="0.35">
      <c r="B26" s="1015"/>
      <c r="C26" s="624" t="s">
        <v>297</v>
      </c>
      <c r="D26" s="625">
        <v>507.90065330613919</v>
      </c>
      <c r="E26" s="1015"/>
      <c r="O26" s="1010"/>
      <c r="P26" s="1010"/>
      <c r="Q26"/>
      <c r="R26" s="1010"/>
      <c r="S26" s="1010"/>
      <c r="T26"/>
      <c r="U26"/>
      <c r="V26"/>
      <c r="W26"/>
      <c r="X26"/>
      <c r="Y26"/>
      <c r="Z26"/>
      <c r="AA26"/>
      <c r="AB26"/>
      <c r="AC26"/>
      <c r="AD26"/>
      <c r="AE26"/>
    </row>
    <row r="27" spans="2:31" ht="15.5" x14ac:dyDescent="0.35">
      <c r="B27" s="1015"/>
      <c r="C27" s="624" t="s">
        <v>298</v>
      </c>
      <c r="D27" s="625">
        <v>515.07054646446682</v>
      </c>
      <c r="E27" s="1015"/>
      <c r="O27" s="647" t="s">
        <v>318</v>
      </c>
      <c r="P27" s="627">
        <v>1</v>
      </c>
      <c r="Q27"/>
      <c r="R27" s="647" t="s">
        <v>314</v>
      </c>
      <c r="S27" s="648">
        <v>0.85</v>
      </c>
      <c r="T27" s="289"/>
      <c r="U27"/>
      <c r="V27" s="623" t="s">
        <v>474</v>
      </c>
      <c r="W27" s="620" t="s">
        <v>475</v>
      </c>
      <c r="X27" s="620" t="s">
        <v>476</v>
      </c>
      <c r="Y27" s="620" t="s">
        <v>477</v>
      </c>
      <c r="Z27" s="620" t="s">
        <v>478</v>
      </c>
      <c r="AA27" s="620" t="s">
        <v>479</v>
      </c>
      <c r="AB27"/>
      <c r="AC27"/>
      <c r="AD27"/>
      <c r="AE27"/>
    </row>
    <row r="28" spans="2:31" x14ac:dyDescent="0.35">
      <c r="B28" s="1015"/>
      <c r="C28" s="624" t="s">
        <v>299</v>
      </c>
      <c r="D28" s="625">
        <v>464.36134546855777</v>
      </c>
      <c r="E28" s="1015"/>
      <c r="O28" s="647" t="s">
        <v>316</v>
      </c>
      <c r="P28" s="627">
        <v>30</v>
      </c>
      <c r="Q28"/>
      <c r="R28" s="647" t="s">
        <v>315</v>
      </c>
      <c r="S28" s="648">
        <f>12/28</f>
        <v>0.42857142857142855</v>
      </c>
      <c r="T28" s="289"/>
      <c r="U28"/>
      <c r="V28" s="620" t="s">
        <v>475</v>
      </c>
      <c r="W28" s="643">
        <v>1</v>
      </c>
      <c r="X28" s="629">
        <v>1000</v>
      </c>
      <c r="Y28" s="629">
        <v>1000000</v>
      </c>
      <c r="Z28" s="629">
        <v>304.8</v>
      </c>
      <c r="AA28" s="634">
        <v>1609340</v>
      </c>
      <c r="AB28"/>
      <c r="AC28"/>
      <c r="AD28"/>
      <c r="AE28"/>
    </row>
    <row r="29" spans="2:31" x14ac:dyDescent="0.35">
      <c r="B29" s="1015"/>
      <c r="C29" s="624" t="s">
        <v>300</v>
      </c>
      <c r="D29" s="625">
        <v>811.87608764310733</v>
      </c>
      <c r="E29" s="1015"/>
      <c r="O29" s="647" t="s">
        <v>317</v>
      </c>
      <c r="P29" s="627">
        <v>265</v>
      </c>
      <c r="Q29"/>
      <c r="R29" s="647" t="s">
        <v>318</v>
      </c>
      <c r="S29" s="648">
        <f>12/44</f>
        <v>0.27272727272727271</v>
      </c>
      <c r="T29" s="289"/>
      <c r="U29"/>
      <c r="V29" s="620" t="s">
        <v>476</v>
      </c>
      <c r="W29" s="632">
        <v>1E-3</v>
      </c>
      <c r="X29" s="629">
        <v>1</v>
      </c>
      <c r="Y29" s="629">
        <v>1000</v>
      </c>
      <c r="Z29" s="632">
        <v>0.30480000000000002</v>
      </c>
      <c r="AA29" s="629">
        <v>1609.34</v>
      </c>
      <c r="AB29"/>
      <c r="AC29"/>
      <c r="AD29"/>
      <c r="AE29"/>
    </row>
    <row r="30" spans="2:31" x14ac:dyDescent="0.35">
      <c r="B30" s="1015"/>
      <c r="C30" s="624" t="s">
        <v>301</v>
      </c>
      <c r="D30" s="625">
        <v>493.91436237711542</v>
      </c>
      <c r="E30" s="1015"/>
      <c r="O30" s="647" t="s">
        <v>314</v>
      </c>
      <c r="P30" s="648">
        <f>CContent_VOC/CContent_CO2</f>
        <v>3.1166666666666667</v>
      </c>
      <c r="Q30"/>
      <c r="R30"/>
      <c r="S30"/>
      <c r="T30"/>
      <c r="U30"/>
      <c r="V30" s="620" t="s">
        <v>477</v>
      </c>
      <c r="W30" s="633">
        <v>9.9999999999999995E-7</v>
      </c>
      <c r="X30" s="632">
        <v>1E-3</v>
      </c>
      <c r="Y30" s="629">
        <v>1</v>
      </c>
      <c r="Z30" s="634">
        <v>3.0480000000000004E-4</v>
      </c>
      <c r="AA30" s="632">
        <v>1.60934</v>
      </c>
      <c r="AB30"/>
      <c r="AC30"/>
      <c r="AD30"/>
      <c r="AE30"/>
    </row>
    <row r="31" spans="2:31" x14ac:dyDescent="0.35">
      <c r="B31" s="1015"/>
      <c r="C31" s="624" t="s">
        <v>302</v>
      </c>
      <c r="D31" s="625">
        <v>494.76520134400619</v>
      </c>
      <c r="E31" s="1015"/>
      <c r="O31" s="647" t="s">
        <v>315</v>
      </c>
      <c r="P31" s="648">
        <f>CContent_CO/CContent_CO2</f>
        <v>1.5714285714285714</v>
      </c>
      <c r="Q31"/>
      <c r="R31"/>
      <c r="S31" s="290"/>
      <c r="T31"/>
      <c r="U31"/>
      <c r="V31" s="620" t="s">
        <v>478</v>
      </c>
      <c r="W31" s="634">
        <v>3.2808398950131233E-3</v>
      </c>
      <c r="X31" s="649">
        <v>3.2808398950131235</v>
      </c>
      <c r="Y31" s="629">
        <v>3280.8398950131236</v>
      </c>
      <c r="Z31" s="629">
        <v>1</v>
      </c>
      <c r="AA31" s="629">
        <v>5280</v>
      </c>
      <c r="AB31"/>
      <c r="AC31"/>
      <c r="AD31"/>
      <c r="AE31"/>
    </row>
    <row r="32" spans="2:31" x14ac:dyDescent="0.35">
      <c r="B32" s="1015"/>
      <c r="C32" s="624" t="s">
        <v>303</v>
      </c>
      <c r="D32" s="625">
        <v>360.49521132862571</v>
      </c>
      <c r="E32" s="1015"/>
      <c r="U32"/>
      <c r="V32" s="620" t="s">
        <v>479</v>
      </c>
      <c r="W32" s="634">
        <v>6.2137273664980671E-7</v>
      </c>
      <c r="X32" s="634">
        <v>6.2137273664980672E-4</v>
      </c>
      <c r="Y32" s="632">
        <v>0.62137273664980675</v>
      </c>
      <c r="Z32" s="634">
        <v>1.8939393939393939E-4</v>
      </c>
      <c r="AA32" s="629">
        <v>1</v>
      </c>
      <c r="AB32"/>
      <c r="AC32"/>
      <c r="AD32"/>
      <c r="AE32"/>
    </row>
    <row r="33" spans="2:31" x14ac:dyDescent="0.35">
      <c r="U33"/>
      <c r="AE33"/>
    </row>
    <row r="34" spans="2:31" x14ac:dyDescent="0.35">
      <c r="U34"/>
      <c r="AE34"/>
    </row>
    <row r="35" spans="2:31" ht="18.5" x14ac:dyDescent="0.35">
      <c r="B35" s="650" t="s">
        <v>245</v>
      </c>
      <c r="C35" s="650"/>
      <c r="G35" s="650" t="s">
        <v>594</v>
      </c>
      <c r="H35" s="650" t="s">
        <v>606</v>
      </c>
      <c r="I35" s="650" t="s">
        <v>607</v>
      </c>
      <c r="J35" s="650" t="s">
        <v>608</v>
      </c>
      <c r="K35" s="650" t="s">
        <v>595</v>
      </c>
      <c r="U35"/>
      <c r="V35"/>
      <c r="W35"/>
      <c r="X35"/>
      <c r="Y35"/>
      <c r="Z35"/>
      <c r="AA35"/>
      <c r="AB35"/>
      <c r="AC35"/>
      <c r="AD35"/>
      <c r="AE35"/>
    </row>
    <row r="36" spans="2:31" x14ac:dyDescent="0.35">
      <c r="B36" s="1012" t="s">
        <v>304</v>
      </c>
      <c r="C36" s="651" t="s">
        <v>305</v>
      </c>
      <c r="D36" s="652">
        <v>4.5636235348289037E-6</v>
      </c>
      <c r="E36" s="653" t="s">
        <v>562</v>
      </c>
      <c r="G36" s="654"/>
      <c r="H36" s="654" t="s">
        <v>526</v>
      </c>
      <c r="I36" s="654" t="s">
        <v>526</v>
      </c>
      <c r="J36" s="654" t="s">
        <v>582</v>
      </c>
      <c r="K36" s="654" t="s">
        <v>592</v>
      </c>
    </row>
    <row r="37" spans="2:31" ht="29" x14ac:dyDescent="0.35">
      <c r="B37" s="1013"/>
      <c r="C37" s="651" t="s">
        <v>306</v>
      </c>
      <c r="D37" s="652">
        <f>J55/mmBtu2MJ/680</f>
        <v>6.5278965344693178E-3</v>
      </c>
      <c r="E37" s="655" t="s">
        <v>558</v>
      </c>
      <c r="G37" s="656" t="s">
        <v>314</v>
      </c>
      <c r="H37" s="657">
        <v>23.666</v>
      </c>
      <c r="I37" s="657">
        <f>L49</f>
        <v>2.54</v>
      </c>
      <c r="J37" s="658">
        <v>1.3948802118086403E-2</v>
      </c>
      <c r="K37" s="657">
        <v>62.701000000000001</v>
      </c>
    </row>
    <row r="38" spans="2:31" ht="29" x14ac:dyDescent="0.35">
      <c r="B38" s="1014" t="s">
        <v>593</v>
      </c>
      <c r="C38" s="624" t="s">
        <v>307</v>
      </c>
      <c r="D38" s="659">
        <v>4.8258388720594834</v>
      </c>
      <c r="E38" s="655" t="s">
        <v>611</v>
      </c>
      <c r="G38" s="656" t="s">
        <v>315</v>
      </c>
      <c r="H38" s="657">
        <v>41.469000000000001</v>
      </c>
      <c r="I38" s="657">
        <f>L50</f>
        <v>24.97</v>
      </c>
      <c r="J38" s="658">
        <v>0.55615104332080978</v>
      </c>
      <c r="K38" s="657">
        <v>273.49700000000001</v>
      </c>
    </row>
    <row r="39" spans="2:31" ht="29" x14ac:dyDescent="0.35">
      <c r="B39" s="1015"/>
      <c r="C39" s="624" t="s">
        <v>308</v>
      </c>
      <c r="D39" s="652">
        <f>D40*(1-0.8)</f>
        <v>1.3888888888888885E-7</v>
      </c>
      <c r="E39" s="1017" t="s">
        <v>562</v>
      </c>
      <c r="G39" s="656" t="s">
        <v>316</v>
      </c>
      <c r="H39" s="657">
        <v>31.587</v>
      </c>
      <c r="I39" s="657">
        <f>L51</f>
        <v>1.06</v>
      </c>
      <c r="J39" s="658">
        <v>2.970985692855688E-2</v>
      </c>
      <c r="K39" s="657">
        <v>445.95800000000003</v>
      </c>
    </row>
    <row r="40" spans="2:31" ht="29" x14ac:dyDescent="0.35">
      <c r="B40" s="1016"/>
      <c r="C40" s="624" t="s">
        <v>309</v>
      </c>
      <c r="D40" s="652">
        <f>0.001/24/60</f>
        <v>6.9444444444444437E-7</v>
      </c>
      <c r="E40" s="1018"/>
      <c r="G40" s="656" t="s">
        <v>317</v>
      </c>
      <c r="H40" s="657">
        <v>1.1000000000000001</v>
      </c>
      <c r="I40" s="658">
        <f>L53</f>
        <v>0.35</v>
      </c>
      <c r="J40" s="658">
        <v>7.9312940884925084E-4</v>
      </c>
      <c r="K40" s="658">
        <v>0.86699999999999999</v>
      </c>
    </row>
    <row r="41" spans="2:31" x14ac:dyDescent="0.35">
      <c r="B41" s="661" t="s">
        <v>345</v>
      </c>
      <c r="C41" s="624" t="s">
        <v>311</v>
      </c>
      <c r="D41" s="662">
        <v>5.5885034538532318E-3</v>
      </c>
      <c r="E41" s="660" t="s">
        <v>583</v>
      </c>
      <c r="G41" s="656" t="s">
        <v>318</v>
      </c>
      <c r="H41" s="663">
        <v>59186.893410412733</v>
      </c>
      <c r="I41" s="663">
        <f>L54</f>
        <v>59362.612360412735</v>
      </c>
      <c r="J41" s="664">
        <v>55.547068667331331</v>
      </c>
      <c r="K41" s="663">
        <v>57561.09864850797</v>
      </c>
    </row>
    <row r="42" spans="2:31" ht="29" x14ac:dyDescent="0.35">
      <c r="B42" s="661" t="s">
        <v>310</v>
      </c>
      <c r="C42" s="624" t="s">
        <v>311</v>
      </c>
      <c r="D42" s="665">
        <v>2.9843495091195451</v>
      </c>
      <c r="E42" s="655" t="s">
        <v>589</v>
      </c>
      <c r="G42" s="656" t="s">
        <v>570</v>
      </c>
      <c r="H42" s="663">
        <f>-density_NG/(LHV_NG*Btu2mmBtu)*CContent_NG/CContent_CO2</f>
        <v>-59373.189964157718</v>
      </c>
      <c r="I42" s="663">
        <f>-density_NG/(LHV_NG*Btu2mmBtu)*CContent_NG/CContent_CO2</f>
        <v>-59373.189964157718</v>
      </c>
      <c r="J42" s="664">
        <v>-56.312357554507322</v>
      </c>
      <c r="K42" s="663">
        <f>-density_NG/(LHV_NG*Btu2mmBtu)*CContent_NG/CContent_CO2</f>
        <v>-59373.189964157718</v>
      </c>
    </row>
    <row r="43" spans="2:31" x14ac:dyDescent="0.35">
      <c r="G43" s="656" t="s">
        <v>182</v>
      </c>
      <c r="H43" s="342">
        <f>H37*GWP_VOC+H38*GWP_CO+H39*GWP_CH4+H40*GWP_N2O+H41+H42</f>
        <v>1191.7380510169169</v>
      </c>
      <c r="I43" s="342">
        <f>I37*GWP_VOC+I38*GWP_CO+I39*GWP_CH4+I40*GWP_N2O+I41+I42</f>
        <v>161.12730101692432</v>
      </c>
      <c r="J43" s="347">
        <v>1.2536115201312725</v>
      </c>
      <c r="K43" s="342">
        <f>K37*GWP_VOC+K38*GWP_CO+K39*GWP_CH4+K40*GWP_N2O+K41+K42</f>
        <v>12421.602801016925</v>
      </c>
    </row>
    <row r="44" spans="2:31" x14ac:dyDescent="0.35">
      <c r="I44" s="1008" t="s">
        <v>596</v>
      </c>
      <c r="J44" s="973"/>
      <c r="K44" s="345">
        <v>128.83001436174456</v>
      </c>
    </row>
    <row r="47" spans="2:31" ht="18.5" x14ac:dyDescent="0.35">
      <c r="B47" s="650" t="s">
        <v>581</v>
      </c>
      <c r="C47" s="496"/>
      <c r="G47" s="650" t="s">
        <v>613</v>
      </c>
      <c r="H47" s="650"/>
      <c r="I47" s="650"/>
      <c r="J47" s="650"/>
      <c r="K47" s="650"/>
      <c r="L47" s="247"/>
      <c r="M47" s="247"/>
    </row>
    <row r="48" spans="2:31" ht="43.5" x14ac:dyDescent="0.35">
      <c r="B48" s="591" t="s">
        <v>602</v>
      </c>
      <c r="C48" s="602" t="s">
        <v>319</v>
      </c>
      <c r="D48" s="602" t="s">
        <v>252</v>
      </c>
      <c r="G48" s="654"/>
      <c r="H48" s="661" t="s">
        <v>312</v>
      </c>
      <c r="I48" s="661" t="s">
        <v>313</v>
      </c>
      <c r="J48" s="666" t="s">
        <v>590</v>
      </c>
      <c r="K48" s="666" t="s">
        <v>565</v>
      </c>
      <c r="L48" s="666" t="s">
        <v>494</v>
      </c>
    </row>
    <row r="49" spans="1:16" x14ac:dyDescent="0.35">
      <c r="B49" s="656" t="s">
        <v>49</v>
      </c>
      <c r="C49" s="651" t="s">
        <v>527</v>
      </c>
      <c r="D49" s="667">
        <v>12707.328455442075</v>
      </c>
      <c r="G49" s="656" t="s">
        <v>314</v>
      </c>
      <c r="H49" s="668">
        <v>2.5324992452298365</v>
      </c>
      <c r="I49" s="669">
        <v>4.6709896737763472</v>
      </c>
      <c r="J49" s="668">
        <v>3.9038915192270003</v>
      </c>
      <c r="K49" s="668">
        <v>2.5</v>
      </c>
      <c r="L49" s="668">
        <v>2.54</v>
      </c>
    </row>
    <row r="50" spans="1:16" x14ac:dyDescent="0.35">
      <c r="B50" s="596" t="s">
        <v>603</v>
      </c>
      <c r="C50" s="651" t="s">
        <v>589</v>
      </c>
      <c r="D50" s="667">
        <f>SUM(H55:J55,L55)</f>
        <v>72949.532731448708</v>
      </c>
      <c r="G50" s="656" t="s">
        <v>315</v>
      </c>
      <c r="H50" s="669">
        <v>12.385396104242369</v>
      </c>
      <c r="I50" s="669">
        <v>2.6032222945105743</v>
      </c>
      <c r="J50" s="669">
        <v>20.017220659248938</v>
      </c>
      <c r="K50" s="669">
        <v>26</v>
      </c>
      <c r="L50" s="669">
        <v>24.97</v>
      </c>
    </row>
    <row r="51" spans="1:16" x14ac:dyDescent="0.35">
      <c r="B51" s="596" t="s">
        <v>604</v>
      </c>
      <c r="C51" s="651" t="s">
        <v>529</v>
      </c>
      <c r="D51" s="667" t="e">
        <f>INDEX(grid_CIs, MATCH(user_grid_bcs,grid_names,0))</f>
        <v>#N/A</v>
      </c>
      <c r="G51" s="656" t="s">
        <v>591</v>
      </c>
      <c r="H51" s="670">
        <v>11.234533976772676</v>
      </c>
      <c r="I51" s="669">
        <v>3.7448822012711567</v>
      </c>
      <c r="J51" s="669">
        <v>19.313231422961749</v>
      </c>
      <c r="K51" s="669">
        <v>49</v>
      </c>
      <c r="L51" s="668">
        <v>1.06</v>
      </c>
    </row>
    <row r="52" spans="1:16" x14ac:dyDescent="0.35">
      <c r="B52" s="656" t="s">
        <v>605</v>
      </c>
      <c r="C52" s="651" t="s">
        <v>530</v>
      </c>
      <c r="D52" s="667">
        <v>7106.9160761206949</v>
      </c>
      <c r="G52" s="656" t="s">
        <v>609</v>
      </c>
      <c r="H52" s="670">
        <v>106.17289506619792</v>
      </c>
      <c r="I52" s="669">
        <v>6.2287497406508887</v>
      </c>
      <c r="J52" s="669">
        <v>64.095753284762793</v>
      </c>
      <c r="K52" s="669"/>
      <c r="L52" s="669"/>
    </row>
    <row r="53" spans="1:16" ht="29" x14ac:dyDescent="0.35">
      <c r="A53" s="243"/>
      <c r="B53" s="671" t="s">
        <v>575</v>
      </c>
      <c r="C53" s="672" t="s">
        <v>520</v>
      </c>
      <c r="D53" s="673"/>
      <c r="G53" s="656" t="s">
        <v>317</v>
      </c>
      <c r="H53" s="668">
        <v>1.1075283910835051E-2</v>
      </c>
      <c r="I53" s="668">
        <v>1.7537327755211492E-2</v>
      </c>
      <c r="J53" s="668">
        <v>1.3883112288655257</v>
      </c>
      <c r="K53" s="668">
        <v>1.1000000238418579</v>
      </c>
      <c r="L53" s="668">
        <v>0.35</v>
      </c>
    </row>
    <row r="54" spans="1:16" ht="29" x14ac:dyDescent="0.35">
      <c r="B54" s="671" t="s">
        <v>576</v>
      </c>
      <c r="C54" s="672" t="s">
        <v>520</v>
      </c>
      <c r="D54" s="673"/>
      <c r="G54" s="656" t="s">
        <v>318</v>
      </c>
      <c r="H54" s="670">
        <v>2402.4642175409313</v>
      </c>
      <c r="I54" s="670">
        <v>2454.3717698163682</v>
      </c>
      <c r="J54" s="670">
        <v>1769.566112368982</v>
      </c>
      <c r="K54" s="670">
        <v>59229.283455650831</v>
      </c>
      <c r="L54" s="670">
        <v>59362.612360412735</v>
      </c>
    </row>
    <row r="55" spans="1:16" ht="29" x14ac:dyDescent="0.35">
      <c r="B55" s="671" t="s">
        <v>577</v>
      </c>
      <c r="C55" s="672" t="s">
        <v>520</v>
      </c>
      <c r="D55" s="673"/>
      <c r="G55" s="596" t="s">
        <v>597</v>
      </c>
      <c r="H55" s="341">
        <f>(H49*GWP_VOC+H50*GWP_CO+(H51+H52)*GWP_CH4+H53*GWP_N2O+H54)</f>
        <v>5954.9777603540533</v>
      </c>
      <c r="I55" s="341">
        <f>(I49*GWP_VOC+I50*GWP_CO+(I51+I52)*GWP_CH4+I53*GWP_N2O+I54)</f>
        <v>2776.8768156371375</v>
      </c>
      <c r="J55" s="341">
        <f>(J49*GWP_VOC+J50*GWP_CO+(J51+J52)*GWP_CH4+J53*GWP_N2O+J54)</f>
        <v>4683.3608902828746</v>
      </c>
      <c r="K55" s="341">
        <f>(K49*GWP_VOC+K50*GWP_CO+(K51+K52)*GWP_CH4+K53*GWP_N2O+K54)</f>
        <v>61039.432271492733</v>
      </c>
      <c r="L55" s="346">
        <f>(L49*GWP_VOC+L50*GWP_CO+(L51+L52)*GWP_CH4+L53*GWP_N2O+L54)</f>
        <v>59534.317265174643</v>
      </c>
    </row>
    <row r="57" spans="1:16" ht="18" customHeight="1" x14ac:dyDescent="0.35"/>
    <row r="59" spans="1:16" ht="18" customHeight="1" x14ac:dyDescent="0.35">
      <c r="B59" s="1011" t="s">
        <v>509</v>
      </c>
      <c r="C59" s="1011"/>
      <c r="I59"/>
      <c r="J59"/>
      <c r="L59"/>
      <c r="M59"/>
      <c r="N59"/>
      <c r="O59"/>
      <c r="P59"/>
    </row>
    <row r="60" spans="1:16" ht="18" customHeight="1" x14ac:dyDescent="0.35">
      <c r="B60" s="1011"/>
      <c r="C60" s="1011"/>
      <c r="D60" s="674" t="s">
        <v>557</v>
      </c>
      <c r="E60" s="675"/>
      <c r="F60" s="675"/>
      <c r="G60" s="675"/>
      <c r="H60" s="675"/>
      <c r="I60"/>
      <c r="J60"/>
      <c r="L60" s="251"/>
      <c r="M60" s="251"/>
      <c r="N60" s="251"/>
      <c r="O60" s="251"/>
      <c r="P60" s="251"/>
    </row>
    <row r="61" spans="1:16" x14ac:dyDescent="0.35">
      <c r="C61"/>
      <c r="D61"/>
      <c r="E61"/>
      <c r="F61"/>
      <c r="G61"/>
      <c r="H61"/>
      <c r="I61"/>
      <c r="J61"/>
      <c r="L61"/>
      <c r="M61"/>
      <c r="N61"/>
      <c r="O61"/>
      <c r="P61"/>
    </row>
    <row r="62" spans="1:16" ht="17" thickBot="1" x14ac:dyDescent="0.5">
      <c r="C62" s="251" t="s">
        <v>346</v>
      </c>
      <c r="D62"/>
      <c r="E62"/>
      <c r="F62"/>
      <c r="G62"/>
      <c r="H62"/>
      <c r="I62"/>
      <c r="J62"/>
      <c r="K62"/>
      <c r="L62"/>
      <c r="M62"/>
      <c r="N62"/>
      <c r="O62"/>
      <c r="P62"/>
    </row>
    <row r="63" spans="1:16" ht="43.5" x14ac:dyDescent="0.35">
      <c r="C63" s="676" t="s">
        <v>716</v>
      </c>
      <c r="D63" s="677" t="s">
        <v>498</v>
      </c>
      <c r="E63" s="677" t="s">
        <v>717</v>
      </c>
      <c r="F63" s="678" t="s">
        <v>718</v>
      </c>
      <c r="G63"/>
    </row>
    <row r="64" spans="1:16" x14ac:dyDescent="0.35">
      <c r="C64" s="679" t="s">
        <v>362</v>
      </c>
      <c r="D64" s="680">
        <v>680</v>
      </c>
      <c r="E64" s="681" t="e">
        <f>INDEX(Background!$D$83:$G$132,MATCH(state,$C$83:$C$132,0),MATCH($C64,$D$82:$G$82,0))</f>
        <v>#N/A</v>
      </c>
      <c r="F64" s="682">
        <v>0.24</v>
      </c>
      <c r="G64"/>
    </row>
    <row r="65" spans="3:33" ht="26" x14ac:dyDescent="0.35">
      <c r="C65" s="683" t="s">
        <v>347</v>
      </c>
      <c r="D65" s="684">
        <v>684</v>
      </c>
      <c r="E65" s="685">
        <v>5.56</v>
      </c>
      <c r="F65" s="686">
        <v>0.24</v>
      </c>
      <c r="G65"/>
    </row>
    <row r="66" spans="3:33" x14ac:dyDescent="0.35">
      <c r="C66" s="687" t="s">
        <v>363</v>
      </c>
      <c r="D66" s="684">
        <v>407</v>
      </c>
      <c r="E66" s="681" t="e">
        <f>INDEX(Background!$D$83:$G$132,MATCH(state,$C$83:$C$132,0),MATCH($C66,$D$82:$G$82,0))</f>
        <v>#N/A</v>
      </c>
      <c r="F66" s="686">
        <v>0.17</v>
      </c>
      <c r="G66"/>
    </row>
    <row r="67" spans="3:33" x14ac:dyDescent="0.35">
      <c r="C67" s="683" t="s">
        <v>348</v>
      </c>
      <c r="D67" s="684">
        <v>874</v>
      </c>
      <c r="E67" s="685">
        <v>6.04</v>
      </c>
      <c r="F67" s="686">
        <v>0.17</v>
      </c>
      <c r="G67"/>
    </row>
    <row r="68" spans="3:33" x14ac:dyDescent="0.35">
      <c r="C68" s="683" t="s">
        <v>349</v>
      </c>
      <c r="D68" s="684">
        <v>118</v>
      </c>
      <c r="E68" s="688">
        <v>7.7</v>
      </c>
      <c r="F68" s="686">
        <v>0.17</v>
      </c>
      <c r="G68"/>
    </row>
    <row r="69" spans="3:33" x14ac:dyDescent="0.35">
      <c r="C69" s="687" t="s">
        <v>364</v>
      </c>
      <c r="D69" s="684">
        <v>351.5</v>
      </c>
      <c r="E69" s="681" t="e">
        <f>INDEX(Background!$D$83:$G$132,MATCH(state,$C$83:$C$132,0),MATCH($C69,$D$82:$G$82,0))</f>
        <v>#N/A</v>
      </c>
      <c r="F69" s="686">
        <v>0.17</v>
      </c>
      <c r="G69"/>
    </row>
    <row r="70" spans="3:33" x14ac:dyDescent="0.35">
      <c r="C70" s="687" t="s">
        <v>511</v>
      </c>
      <c r="D70" s="684">
        <v>582.5</v>
      </c>
      <c r="E70" s="681" t="e">
        <f>INDEX(Background!$D$83:$G$132,MATCH(state,$C$83:$C$132,0),MATCH($C70,$D$82:$G$82,0))</f>
        <v>#N/A</v>
      </c>
      <c r="F70" s="686">
        <v>0.17</v>
      </c>
      <c r="G70"/>
    </row>
    <row r="71" spans="3:33" x14ac:dyDescent="0.35">
      <c r="C71" s="683" t="s">
        <v>350</v>
      </c>
      <c r="D71" s="684">
        <v>12.5</v>
      </c>
      <c r="E71" s="685">
        <v>8.89</v>
      </c>
      <c r="F71" s="686">
        <v>0.48</v>
      </c>
      <c r="G71"/>
      <c r="AG71"/>
    </row>
    <row r="72" spans="3:33" x14ac:dyDescent="0.35">
      <c r="C72" s="683" t="s">
        <v>351</v>
      </c>
      <c r="D72" s="684">
        <v>70</v>
      </c>
      <c r="E72" s="685">
        <v>5.36</v>
      </c>
      <c r="F72" s="686">
        <v>0.48</v>
      </c>
      <c r="G72"/>
      <c r="AG72"/>
    </row>
    <row r="73" spans="3:33" ht="15" thickBot="1" x14ac:dyDescent="0.4">
      <c r="C73" s="689" t="s">
        <v>352</v>
      </c>
      <c r="D73" s="690">
        <v>198</v>
      </c>
      <c r="E73" s="691">
        <v>2.71</v>
      </c>
      <c r="F73" s="692">
        <v>0.48</v>
      </c>
      <c r="G73"/>
      <c r="AG73"/>
    </row>
    <row r="74" spans="3:33" x14ac:dyDescent="0.35">
      <c r="C74"/>
      <c r="D74"/>
      <c r="E74"/>
      <c r="F74"/>
      <c r="G74"/>
      <c r="AG74"/>
    </row>
    <row r="75" spans="3:33" ht="15" thickBot="1" x14ac:dyDescent="0.4">
      <c r="C75" s="251" t="s">
        <v>515</v>
      </c>
      <c r="D75" s="252"/>
      <c r="E75"/>
      <c r="F75"/>
      <c r="G75"/>
      <c r="AG75"/>
    </row>
    <row r="76" spans="3:33" ht="26.25" customHeight="1" x14ac:dyDescent="0.35">
      <c r="C76" s="693" t="s">
        <v>353</v>
      </c>
      <c r="D76" s="694" t="s">
        <v>354</v>
      </c>
      <c r="E76" s="677" t="s">
        <v>516</v>
      </c>
      <c r="F76" s="678" t="s">
        <v>355</v>
      </c>
      <c r="G76"/>
      <c r="AG76"/>
    </row>
    <row r="77" spans="3:33" ht="26" x14ac:dyDescent="0.35">
      <c r="C77" s="991" t="s">
        <v>209</v>
      </c>
      <c r="D77" s="695" t="s">
        <v>356</v>
      </c>
      <c r="E77" s="696">
        <v>0.95</v>
      </c>
      <c r="F77" s="253">
        <f>1-E77</f>
        <v>5.0000000000000044E-2</v>
      </c>
      <c r="G77"/>
      <c r="AG77"/>
    </row>
    <row r="78" spans="3:33" ht="26" x14ac:dyDescent="0.35">
      <c r="C78" s="992"/>
      <c r="D78" s="695" t="s">
        <v>357</v>
      </c>
      <c r="E78" s="696" t="s">
        <v>358</v>
      </c>
      <c r="F78" s="253" t="s">
        <v>359</v>
      </c>
      <c r="G78"/>
      <c r="AG78"/>
    </row>
    <row r="79" spans="3:33" ht="26.5" thickBot="1" x14ac:dyDescent="0.4">
      <c r="C79" s="689" t="s">
        <v>360</v>
      </c>
      <c r="D79" s="697" t="s">
        <v>361</v>
      </c>
      <c r="E79" s="698">
        <v>0.98</v>
      </c>
      <c r="F79" s="254">
        <f>1-E79</f>
        <v>2.0000000000000018E-2</v>
      </c>
      <c r="G79"/>
      <c r="AG79"/>
    </row>
    <row r="80" spans="3:33" x14ac:dyDescent="0.35">
      <c r="C80"/>
      <c r="D80"/>
      <c r="E80"/>
      <c r="F80"/>
      <c r="G80"/>
      <c r="AG80"/>
    </row>
    <row r="81" spans="3:33" ht="15" thickBot="1" x14ac:dyDescent="0.4">
      <c r="C81" s="251" t="s">
        <v>554</v>
      </c>
      <c r="D81" s="255"/>
      <c r="E81" s="255"/>
      <c r="F81" s="255"/>
      <c r="G81" s="249"/>
      <c r="AG81"/>
    </row>
    <row r="82" spans="3:33" ht="26" x14ac:dyDescent="0.35">
      <c r="C82" s="699" t="s">
        <v>719</v>
      </c>
      <c r="D82" s="700" t="s">
        <v>362</v>
      </c>
      <c r="E82" s="700" t="s">
        <v>363</v>
      </c>
      <c r="F82" s="700" t="s">
        <v>364</v>
      </c>
      <c r="G82" s="701" t="s">
        <v>511</v>
      </c>
      <c r="AG82"/>
    </row>
    <row r="83" spans="3:33" x14ac:dyDescent="0.35">
      <c r="C83" s="702" t="s">
        <v>365</v>
      </c>
      <c r="D83" s="703">
        <v>8.6199999999999992</v>
      </c>
      <c r="E83" s="703">
        <v>8.44</v>
      </c>
      <c r="F83" s="703">
        <v>19.670000000000002</v>
      </c>
      <c r="G83" s="704">
        <v>7.82</v>
      </c>
      <c r="AG83"/>
    </row>
    <row r="84" spans="3:33" x14ac:dyDescent="0.35">
      <c r="C84" s="702" t="s">
        <v>366</v>
      </c>
      <c r="D84" s="703">
        <v>8.7100000000000009</v>
      </c>
      <c r="E84" s="703">
        <v>8.44</v>
      </c>
      <c r="F84" s="703">
        <v>30.94</v>
      </c>
      <c r="G84" s="704">
        <v>8.89</v>
      </c>
      <c r="AG84"/>
    </row>
    <row r="85" spans="3:33" x14ac:dyDescent="0.35">
      <c r="C85" s="702" t="s">
        <v>367</v>
      </c>
      <c r="D85" s="703">
        <v>11.64</v>
      </c>
      <c r="E85" s="703">
        <v>8.44</v>
      </c>
      <c r="F85" s="703">
        <v>22.32</v>
      </c>
      <c r="G85" s="704">
        <v>8.89</v>
      </c>
      <c r="AG85"/>
    </row>
    <row r="86" spans="3:33" x14ac:dyDescent="0.35">
      <c r="C86" s="702" t="s">
        <v>368</v>
      </c>
      <c r="D86" s="703">
        <v>8.44</v>
      </c>
      <c r="E86" s="703">
        <v>8.44</v>
      </c>
      <c r="F86" s="703">
        <v>18.38</v>
      </c>
      <c r="G86" s="704">
        <v>7.82</v>
      </c>
      <c r="AG86"/>
    </row>
    <row r="87" spans="3:33" x14ac:dyDescent="0.35">
      <c r="C87" s="702" t="s">
        <v>233</v>
      </c>
      <c r="D87" s="703">
        <v>11.41</v>
      </c>
      <c r="E87" s="703">
        <v>8.44</v>
      </c>
      <c r="F87" s="703">
        <v>13.96</v>
      </c>
      <c r="G87" s="704">
        <v>8.89</v>
      </c>
      <c r="AG87"/>
    </row>
    <row r="88" spans="3:33" x14ac:dyDescent="0.35">
      <c r="C88" s="702" t="s">
        <v>369</v>
      </c>
      <c r="D88" s="703">
        <v>11.64</v>
      </c>
      <c r="E88" s="703">
        <v>8.44</v>
      </c>
      <c r="F88" s="703">
        <v>12.28</v>
      </c>
      <c r="G88" s="704">
        <v>8.89</v>
      </c>
      <c r="AG88"/>
    </row>
    <row r="89" spans="3:33" x14ac:dyDescent="0.35">
      <c r="C89" s="702" t="s">
        <v>370</v>
      </c>
      <c r="D89" s="703">
        <v>10.41</v>
      </c>
      <c r="E89" s="703">
        <v>8.44</v>
      </c>
      <c r="F89" s="703">
        <v>23.35</v>
      </c>
      <c r="G89" s="704">
        <v>7.87</v>
      </c>
      <c r="AG89"/>
    </row>
    <row r="90" spans="3:33" x14ac:dyDescent="0.35">
      <c r="C90" s="702" t="s">
        <v>371</v>
      </c>
      <c r="D90" s="703">
        <v>10.18</v>
      </c>
      <c r="E90" s="703">
        <v>8.44</v>
      </c>
      <c r="F90" s="703">
        <v>16.82</v>
      </c>
      <c r="G90" s="704">
        <v>7.87</v>
      </c>
      <c r="AG90"/>
    </row>
    <row r="91" spans="3:33" x14ac:dyDescent="0.35">
      <c r="C91" s="702" t="s">
        <v>372</v>
      </c>
      <c r="D91" s="703">
        <v>10.36</v>
      </c>
      <c r="E91" s="703">
        <v>8.44</v>
      </c>
      <c r="F91" s="703">
        <v>21.99</v>
      </c>
      <c r="G91" s="704">
        <v>7.82</v>
      </c>
      <c r="AG91"/>
    </row>
    <row r="92" spans="3:33" x14ac:dyDescent="0.35">
      <c r="C92" s="702" t="s">
        <v>373</v>
      </c>
      <c r="D92" s="703">
        <v>10.4</v>
      </c>
      <c r="E92" s="703">
        <v>8.44</v>
      </c>
      <c r="F92" s="703">
        <v>19.170000000000002</v>
      </c>
      <c r="G92" s="704">
        <v>7.82</v>
      </c>
      <c r="AG92"/>
    </row>
    <row r="93" spans="3:33" x14ac:dyDescent="0.35">
      <c r="C93" s="702" t="s">
        <v>374</v>
      </c>
      <c r="D93" s="703">
        <v>8.6999999999999993</v>
      </c>
      <c r="E93" s="703">
        <v>8.44</v>
      </c>
      <c r="F93" s="703">
        <v>20.25</v>
      </c>
      <c r="G93" s="704">
        <v>8.89</v>
      </c>
      <c r="AG93"/>
    </row>
    <row r="94" spans="3:33" x14ac:dyDescent="0.35">
      <c r="C94" s="702" t="s">
        <v>375</v>
      </c>
      <c r="D94" s="703">
        <v>11.45</v>
      </c>
      <c r="E94" s="703">
        <v>8.44</v>
      </c>
      <c r="F94" s="703">
        <v>13.75</v>
      </c>
      <c r="G94" s="704">
        <v>8.89</v>
      </c>
      <c r="AG94"/>
    </row>
    <row r="95" spans="3:33" x14ac:dyDescent="0.35">
      <c r="C95" s="702" t="s">
        <v>376</v>
      </c>
      <c r="D95" s="703">
        <v>10.3</v>
      </c>
      <c r="E95" s="703">
        <v>8.44</v>
      </c>
      <c r="F95" s="703">
        <v>11.42</v>
      </c>
      <c r="G95" s="704">
        <v>7.47</v>
      </c>
    </row>
    <row r="96" spans="3:33" x14ac:dyDescent="0.35">
      <c r="C96" s="702" t="s">
        <v>377</v>
      </c>
      <c r="D96" s="703">
        <v>10.85</v>
      </c>
      <c r="E96" s="703">
        <v>8.44</v>
      </c>
      <c r="F96" s="703">
        <v>11.72</v>
      </c>
      <c r="G96" s="704">
        <v>7.47</v>
      </c>
    </row>
    <row r="97" spans="3:7" x14ac:dyDescent="0.35">
      <c r="C97" s="702" t="s">
        <v>378</v>
      </c>
      <c r="D97" s="703">
        <v>10.96</v>
      </c>
      <c r="E97" s="703">
        <v>8.44</v>
      </c>
      <c r="F97" s="703">
        <v>9.5399999999999991</v>
      </c>
      <c r="G97" s="704">
        <v>7.47</v>
      </c>
    </row>
    <row r="98" spans="3:7" x14ac:dyDescent="0.35">
      <c r="C98" s="702" t="s">
        <v>379</v>
      </c>
      <c r="D98" s="703">
        <v>10.94</v>
      </c>
      <c r="E98" s="703">
        <v>8.44</v>
      </c>
      <c r="F98" s="703">
        <v>8.99</v>
      </c>
      <c r="G98" s="704">
        <v>7.47</v>
      </c>
    </row>
    <row r="99" spans="3:7" x14ac:dyDescent="0.35">
      <c r="C99" s="702" t="s">
        <v>380</v>
      </c>
      <c r="D99" s="703">
        <v>9.1999999999999993</v>
      </c>
      <c r="E99" s="703">
        <v>8.44</v>
      </c>
      <c r="F99" s="703">
        <v>14.69</v>
      </c>
      <c r="G99" s="704">
        <v>7.82</v>
      </c>
    </row>
    <row r="100" spans="3:7" x14ac:dyDescent="0.35">
      <c r="C100" s="702" t="s">
        <v>381</v>
      </c>
      <c r="D100" s="703">
        <v>8.41</v>
      </c>
      <c r="E100" s="703">
        <v>8.44</v>
      </c>
      <c r="F100" s="703">
        <v>21.36</v>
      </c>
      <c r="G100" s="704">
        <v>7.82</v>
      </c>
    </row>
    <row r="101" spans="3:7" x14ac:dyDescent="0.35">
      <c r="C101" s="702" t="s">
        <v>382</v>
      </c>
      <c r="D101" s="703">
        <v>10.01</v>
      </c>
      <c r="E101" s="703">
        <v>8.44</v>
      </c>
      <c r="F101" s="703">
        <v>15.12</v>
      </c>
      <c r="G101" s="704">
        <v>7.87</v>
      </c>
    </row>
    <row r="102" spans="3:7" x14ac:dyDescent="0.35">
      <c r="C102" s="702" t="s">
        <v>383</v>
      </c>
      <c r="D102" s="703">
        <v>10.199999999999999</v>
      </c>
      <c r="E102" s="703">
        <v>8.44</v>
      </c>
      <c r="F102" s="703">
        <v>17.18</v>
      </c>
      <c r="G102" s="704">
        <v>7.87</v>
      </c>
    </row>
    <row r="103" spans="3:7" x14ac:dyDescent="0.35">
      <c r="C103" s="702" t="s">
        <v>384</v>
      </c>
      <c r="D103" s="703">
        <v>9.91</v>
      </c>
      <c r="E103" s="703">
        <v>8.44</v>
      </c>
      <c r="F103" s="703">
        <v>20.89</v>
      </c>
      <c r="G103" s="704">
        <v>7.87</v>
      </c>
    </row>
    <row r="104" spans="3:7" x14ac:dyDescent="0.35">
      <c r="C104" s="702" t="s">
        <v>385</v>
      </c>
      <c r="D104" s="703">
        <v>11.56</v>
      </c>
      <c r="E104" s="703">
        <v>8.44</v>
      </c>
      <c r="F104" s="703">
        <v>12.19</v>
      </c>
      <c r="G104" s="704">
        <v>7.47</v>
      </c>
    </row>
    <row r="105" spans="3:7" x14ac:dyDescent="0.35">
      <c r="C105" s="702" t="s">
        <v>386</v>
      </c>
      <c r="D105" s="703">
        <v>10.29</v>
      </c>
      <c r="E105" s="703">
        <v>8.44</v>
      </c>
      <c r="F105" s="703">
        <v>11.47</v>
      </c>
      <c r="G105" s="704">
        <v>7.47</v>
      </c>
    </row>
    <row r="106" spans="3:7" x14ac:dyDescent="0.35">
      <c r="C106" s="702" t="s">
        <v>387</v>
      </c>
      <c r="D106" s="703">
        <v>8.9600000000000009</v>
      </c>
      <c r="E106" s="703">
        <v>8.44</v>
      </c>
      <c r="F106" s="703">
        <v>19.309999999999999</v>
      </c>
      <c r="G106" s="704">
        <v>7.82</v>
      </c>
    </row>
    <row r="107" spans="3:7" x14ac:dyDescent="0.35">
      <c r="C107" s="702" t="s">
        <v>388</v>
      </c>
      <c r="D107" s="703">
        <v>8.92</v>
      </c>
      <c r="E107" s="703">
        <v>8.44</v>
      </c>
      <c r="F107" s="703">
        <v>14.84</v>
      </c>
      <c r="G107" s="704">
        <v>7.47</v>
      </c>
    </row>
    <row r="108" spans="3:7" x14ac:dyDescent="0.35">
      <c r="C108" s="702" t="s">
        <v>389</v>
      </c>
      <c r="D108" s="703">
        <v>10.85</v>
      </c>
      <c r="E108" s="703">
        <v>8.44</v>
      </c>
      <c r="F108" s="703">
        <v>18.5</v>
      </c>
      <c r="G108" s="704">
        <v>7.82</v>
      </c>
    </row>
    <row r="109" spans="3:7" x14ac:dyDescent="0.35">
      <c r="C109" s="702" t="s">
        <v>390</v>
      </c>
      <c r="D109" s="703">
        <v>10.79</v>
      </c>
      <c r="E109" s="703">
        <v>8.44</v>
      </c>
      <c r="F109" s="703">
        <v>11.97</v>
      </c>
      <c r="G109" s="704">
        <v>8.89</v>
      </c>
    </row>
    <row r="110" spans="3:7" x14ac:dyDescent="0.35">
      <c r="C110" s="702" t="s">
        <v>391</v>
      </c>
      <c r="D110" s="703">
        <v>11.33</v>
      </c>
      <c r="E110" s="703">
        <v>8.44</v>
      </c>
      <c r="F110" s="703">
        <v>14.77</v>
      </c>
      <c r="G110" s="704">
        <v>7.47</v>
      </c>
    </row>
    <row r="111" spans="3:7" x14ac:dyDescent="0.35">
      <c r="C111" s="702" t="s">
        <v>392</v>
      </c>
      <c r="D111" s="703">
        <v>10.34</v>
      </c>
      <c r="E111" s="703">
        <v>8.44</v>
      </c>
      <c r="F111" s="703">
        <v>23.83</v>
      </c>
      <c r="G111" s="704">
        <v>8.92</v>
      </c>
    </row>
    <row r="112" spans="3:7" x14ac:dyDescent="0.35">
      <c r="C112" s="702" t="s">
        <v>393</v>
      </c>
      <c r="D112" s="703">
        <v>10.01</v>
      </c>
      <c r="E112" s="703">
        <v>8.44</v>
      </c>
      <c r="F112" s="703">
        <v>16.559999999999999</v>
      </c>
      <c r="G112" s="704">
        <v>7.87</v>
      </c>
    </row>
    <row r="113" spans="3:28" x14ac:dyDescent="0.35">
      <c r="C113" s="702" t="s">
        <v>394</v>
      </c>
      <c r="D113" s="703">
        <v>11.85</v>
      </c>
      <c r="E113" s="703">
        <v>8.44</v>
      </c>
      <c r="F113" s="703">
        <v>14.27</v>
      </c>
      <c r="G113" s="704">
        <v>7.87</v>
      </c>
    </row>
    <row r="114" spans="3:28" x14ac:dyDescent="0.35">
      <c r="C114" s="702" t="s">
        <v>395</v>
      </c>
      <c r="D114" s="703">
        <v>10.93</v>
      </c>
      <c r="E114" s="703">
        <v>8.44</v>
      </c>
      <c r="F114" s="703">
        <v>16.72</v>
      </c>
      <c r="G114" s="704">
        <v>8.89</v>
      </c>
    </row>
    <row r="115" spans="3:28" x14ac:dyDescent="0.35">
      <c r="C115" s="702" t="s">
        <v>396</v>
      </c>
      <c r="D115" s="703">
        <v>10.79</v>
      </c>
      <c r="E115" s="703">
        <v>8.44</v>
      </c>
      <c r="F115" s="703">
        <v>19.93</v>
      </c>
      <c r="G115" s="704">
        <v>7.87</v>
      </c>
    </row>
    <row r="116" spans="3:28" x14ac:dyDescent="0.35">
      <c r="C116" s="702" t="s">
        <v>397</v>
      </c>
      <c r="D116" s="703">
        <v>10.220000000000001</v>
      </c>
      <c r="E116" s="703">
        <v>8.44</v>
      </c>
      <c r="F116" s="703">
        <v>14.61</v>
      </c>
      <c r="G116" s="704">
        <v>7.82</v>
      </c>
    </row>
    <row r="117" spans="3:28" x14ac:dyDescent="0.35">
      <c r="C117" s="702" t="s">
        <v>398</v>
      </c>
      <c r="D117" s="703">
        <v>10.39</v>
      </c>
      <c r="E117" s="703">
        <v>8.44</v>
      </c>
      <c r="F117" s="703">
        <v>13.24</v>
      </c>
      <c r="G117" s="704">
        <v>7.47</v>
      </c>
    </row>
    <row r="118" spans="3:28" x14ac:dyDescent="0.35">
      <c r="C118" s="702" t="s">
        <v>399</v>
      </c>
      <c r="D118" s="703">
        <v>9.76</v>
      </c>
      <c r="E118" s="703">
        <v>8.44</v>
      </c>
      <c r="F118" s="703">
        <v>12.67</v>
      </c>
      <c r="G118" s="704">
        <v>7.47</v>
      </c>
      <c r="H118"/>
      <c r="I118"/>
      <c r="J118"/>
      <c r="K118"/>
      <c r="Z118"/>
      <c r="AA118"/>
      <c r="AB118"/>
    </row>
    <row r="119" spans="3:28" x14ac:dyDescent="0.35">
      <c r="C119" s="702" t="s">
        <v>400</v>
      </c>
      <c r="D119" s="703">
        <v>10.57</v>
      </c>
      <c r="E119" s="703">
        <v>8.44</v>
      </c>
      <c r="F119" s="703">
        <v>15.75</v>
      </c>
      <c r="G119" s="704">
        <v>7.82</v>
      </c>
      <c r="H119"/>
      <c r="I119"/>
      <c r="J119"/>
      <c r="K119"/>
      <c r="Z119"/>
      <c r="AA119"/>
      <c r="AB119"/>
    </row>
    <row r="120" spans="3:28" x14ac:dyDescent="0.35">
      <c r="C120" s="702" t="s">
        <v>401</v>
      </c>
      <c r="D120" s="703">
        <v>10.32</v>
      </c>
      <c r="E120" s="703">
        <v>8.44</v>
      </c>
      <c r="F120" s="703">
        <v>16.190000000000001</v>
      </c>
      <c r="G120" s="704">
        <v>8.89</v>
      </c>
      <c r="H120"/>
      <c r="I120"/>
      <c r="J120"/>
      <c r="K120"/>
      <c r="Z120"/>
      <c r="AA120"/>
      <c r="AB120"/>
    </row>
    <row r="121" spans="3:28" x14ac:dyDescent="0.35">
      <c r="C121" s="702" t="s">
        <v>402</v>
      </c>
      <c r="D121" s="703">
        <v>9.93</v>
      </c>
      <c r="E121" s="703">
        <v>8.44</v>
      </c>
      <c r="F121" s="703">
        <v>20.89</v>
      </c>
      <c r="G121" s="704">
        <v>7.87</v>
      </c>
      <c r="H121"/>
      <c r="I121"/>
      <c r="J121"/>
      <c r="K121"/>
      <c r="Z121"/>
      <c r="AA121"/>
      <c r="AB121"/>
    </row>
    <row r="122" spans="3:28" x14ac:dyDescent="0.35">
      <c r="C122" s="702" t="s">
        <v>403</v>
      </c>
      <c r="D122" s="703">
        <v>9.85</v>
      </c>
      <c r="E122" s="703">
        <v>8.44</v>
      </c>
      <c r="F122" s="703">
        <v>19.71</v>
      </c>
      <c r="G122" s="704">
        <v>7.87</v>
      </c>
      <c r="H122"/>
      <c r="I122"/>
      <c r="J122"/>
      <c r="K122"/>
      <c r="Z122"/>
      <c r="AA122"/>
      <c r="AB122"/>
    </row>
    <row r="123" spans="3:28" x14ac:dyDescent="0.35">
      <c r="C123" s="702" t="s">
        <v>404</v>
      </c>
      <c r="D123" s="703">
        <v>10.86</v>
      </c>
      <c r="E123" s="703">
        <v>8.44</v>
      </c>
      <c r="F123" s="703">
        <v>12.77</v>
      </c>
      <c r="G123" s="704">
        <v>7.82</v>
      </c>
      <c r="H123"/>
      <c r="I123"/>
      <c r="J123"/>
      <c r="K123"/>
      <c r="Z123"/>
      <c r="AA123"/>
      <c r="AB123"/>
    </row>
    <row r="124" spans="3:28" x14ac:dyDescent="0.35">
      <c r="C124" s="702" t="s">
        <v>405</v>
      </c>
      <c r="D124" s="703">
        <v>9.49</v>
      </c>
      <c r="E124" s="703">
        <v>8.44</v>
      </c>
      <c r="F124" s="703">
        <v>16.25</v>
      </c>
      <c r="G124" s="704">
        <v>7.47</v>
      </c>
      <c r="H124"/>
      <c r="I124"/>
      <c r="J124"/>
      <c r="K124"/>
      <c r="Z124"/>
      <c r="AA124"/>
      <c r="AB124"/>
    </row>
    <row r="125" spans="3:28" x14ac:dyDescent="0.35">
      <c r="C125" s="702" t="s">
        <v>406</v>
      </c>
      <c r="D125" s="703">
        <v>11.06</v>
      </c>
      <c r="E125" s="703">
        <v>8.44</v>
      </c>
      <c r="F125" s="703">
        <v>11.15</v>
      </c>
      <c r="G125" s="704">
        <v>7.82</v>
      </c>
      <c r="H125"/>
      <c r="I125"/>
      <c r="J125"/>
      <c r="K125"/>
      <c r="Z125"/>
      <c r="AA125"/>
      <c r="AB125"/>
    </row>
    <row r="126" spans="3:28" x14ac:dyDescent="0.35">
      <c r="C126" s="702" t="s">
        <v>407</v>
      </c>
      <c r="D126" s="703">
        <v>10.95</v>
      </c>
      <c r="E126" s="703">
        <v>8.44</v>
      </c>
      <c r="F126" s="703">
        <v>16.649999999999999</v>
      </c>
      <c r="G126" s="704">
        <v>7.82</v>
      </c>
      <c r="H126"/>
      <c r="I126"/>
      <c r="J126"/>
      <c r="K126"/>
      <c r="Z126"/>
      <c r="AA126"/>
      <c r="AB126"/>
    </row>
    <row r="127" spans="3:28" x14ac:dyDescent="0.35">
      <c r="C127" s="702" t="s">
        <v>408</v>
      </c>
      <c r="D127" s="703">
        <v>10.23</v>
      </c>
      <c r="E127" s="703">
        <v>8.44</v>
      </c>
      <c r="F127" s="703">
        <v>16.079999999999998</v>
      </c>
      <c r="G127" s="704">
        <v>8.89</v>
      </c>
      <c r="H127"/>
      <c r="I127"/>
      <c r="J127"/>
      <c r="K127"/>
      <c r="Z127"/>
      <c r="AA127"/>
      <c r="AB127"/>
    </row>
    <row r="128" spans="3:28" x14ac:dyDescent="0.35">
      <c r="C128" s="702" t="s">
        <v>409</v>
      </c>
      <c r="D128" s="703">
        <v>10.06</v>
      </c>
      <c r="E128" s="703">
        <v>8.44</v>
      </c>
      <c r="F128" s="703">
        <v>17.93</v>
      </c>
      <c r="G128" s="704">
        <v>7.87</v>
      </c>
      <c r="H128"/>
      <c r="I128"/>
      <c r="J128"/>
      <c r="K128"/>
      <c r="Z128"/>
      <c r="AA128"/>
      <c r="AB128"/>
    </row>
    <row r="129" spans="3:33" x14ac:dyDescent="0.35">
      <c r="C129" s="702" t="s">
        <v>410</v>
      </c>
      <c r="D129" s="703">
        <v>11.58</v>
      </c>
      <c r="E129" s="703">
        <v>8.44</v>
      </c>
      <c r="F129" s="703">
        <v>12.06</v>
      </c>
      <c r="G129" s="704">
        <v>7.82</v>
      </c>
      <c r="H129"/>
      <c r="I129"/>
      <c r="J129"/>
      <c r="K129"/>
      <c r="Z129"/>
      <c r="AA129"/>
      <c r="AB129"/>
    </row>
    <row r="130" spans="3:33" x14ac:dyDescent="0.35">
      <c r="C130" s="702" t="s">
        <v>411</v>
      </c>
      <c r="D130" s="703">
        <v>9.18</v>
      </c>
      <c r="E130" s="703">
        <v>8.44</v>
      </c>
      <c r="F130" s="703">
        <v>19.13</v>
      </c>
      <c r="G130" s="704">
        <v>8.89</v>
      </c>
      <c r="H130"/>
      <c r="I130"/>
      <c r="J130"/>
      <c r="K130"/>
      <c r="Z130"/>
      <c r="AA130"/>
      <c r="AB130"/>
    </row>
    <row r="131" spans="3:33" x14ac:dyDescent="0.35">
      <c r="C131" s="702" t="s">
        <v>412</v>
      </c>
      <c r="D131" s="703">
        <v>10.87</v>
      </c>
      <c r="E131" s="703">
        <v>8.44</v>
      </c>
      <c r="F131" s="703">
        <v>17.03</v>
      </c>
      <c r="G131" s="704">
        <v>7.47</v>
      </c>
      <c r="H131"/>
      <c r="I131"/>
      <c r="J131"/>
      <c r="K131"/>
      <c r="Z131"/>
      <c r="AA131"/>
      <c r="AB131"/>
    </row>
    <row r="132" spans="3:33" ht="15" thickBot="1" x14ac:dyDescent="0.4">
      <c r="C132" s="705" t="s">
        <v>413</v>
      </c>
      <c r="D132" s="706">
        <v>10.69</v>
      </c>
      <c r="E132" s="706">
        <v>8.44</v>
      </c>
      <c r="F132" s="706">
        <v>18.18</v>
      </c>
      <c r="G132" s="707">
        <v>8.89</v>
      </c>
      <c r="H132"/>
      <c r="I132"/>
      <c r="J132"/>
      <c r="K132"/>
      <c r="Z132"/>
      <c r="AA132"/>
      <c r="AB132"/>
    </row>
    <row r="133" spans="3:33" x14ac:dyDescent="0.35">
      <c r="C133"/>
      <c r="D133"/>
      <c r="E133"/>
      <c r="F133"/>
      <c r="G133"/>
      <c r="H133"/>
      <c r="I133"/>
      <c r="J133"/>
      <c r="K133"/>
      <c r="Z133"/>
      <c r="AA133"/>
      <c r="AB133"/>
    </row>
    <row r="134" spans="3:33" x14ac:dyDescent="0.35">
      <c r="C134" s="251" t="s">
        <v>414</v>
      </c>
      <c r="D134" s="249"/>
      <c r="E134" s="249"/>
      <c r="F134" s="249"/>
      <c r="G134" s="249"/>
      <c r="H134"/>
      <c r="I134"/>
      <c r="J134" s="249"/>
      <c r="K134" s="249"/>
      <c r="L134" s="249"/>
      <c r="M134" s="249"/>
      <c r="N134" s="249"/>
      <c r="O134" s="249"/>
      <c r="P134" s="249"/>
      <c r="Q134" s="249"/>
      <c r="R134" s="249"/>
      <c r="S134" s="249"/>
      <c r="T134" s="249"/>
      <c r="U134" s="249"/>
      <c r="V134" s="249"/>
      <c r="W134" s="249"/>
      <c r="X134"/>
      <c r="Y134"/>
      <c r="Z134"/>
      <c r="AA134"/>
      <c r="AB134"/>
      <c r="AC134"/>
      <c r="AD134"/>
      <c r="AE134"/>
      <c r="AF134"/>
      <c r="AG134"/>
    </row>
    <row r="135" spans="3:33" ht="15" thickBot="1" x14ac:dyDescent="0.4">
      <c r="C135" s="306" t="s">
        <v>510</v>
      </c>
      <c r="D135"/>
      <c r="E135" s="249"/>
      <c r="F135" s="249"/>
      <c r="G135" s="249"/>
      <c r="H135"/>
      <c r="I135" s="291"/>
      <c r="J135" s="249"/>
      <c r="K135" s="249"/>
      <c r="L135" s="249"/>
      <c r="M135" s="249"/>
      <c r="N135" s="249"/>
      <c r="O135" s="249"/>
      <c r="P135" s="249"/>
      <c r="Q135" s="249"/>
      <c r="R135" s="249"/>
      <c r="S135" s="249"/>
      <c r="T135" s="249"/>
      <c r="U135" s="249"/>
      <c r="V135" s="249"/>
      <c r="W135" s="249"/>
      <c r="X135"/>
      <c r="Y135"/>
      <c r="Z135"/>
      <c r="AA135"/>
      <c r="AB135"/>
      <c r="AC135"/>
      <c r="AD135"/>
      <c r="AE135"/>
      <c r="AF135"/>
      <c r="AG135"/>
    </row>
    <row r="136" spans="3:33" ht="15" thickBot="1" x14ac:dyDescent="0.4">
      <c r="C136" s="1002" t="s">
        <v>415</v>
      </c>
      <c r="D136" s="1003"/>
      <c r="E136" s="1003"/>
      <c r="F136" s="1003"/>
      <c r="G136" s="1003"/>
      <c r="H136" s="1003"/>
      <c r="I136" s="1003"/>
      <c r="J136" s="1003"/>
      <c r="K136" s="1003"/>
      <c r="L136" s="1003"/>
      <c r="M136" s="1003"/>
      <c r="N136" s="1003"/>
      <c r="O136" s="1003"/>
      <c r="P136" s="1003"/>
      <c r="Q136" s="1003"/>
      <c r="R136" s="1003"/>
      <c r="S136" s="1003"/>
      <c r="T136" s="1003"/>
      <c r="U136" s="1003"/>
      <c r="V136" s="1003"/>
      <c r="W136" s="1003"/>
      <c r="X136" s="1003"/>
      <c r="Y136" s="1003"/>
      <c r="Z136" s="1003"/>
      <c r="AA136" s="1003"/>
      <c r="AB136" s="1003"/>
      <c r="AC136" s="1003"/>
      <c r="AD136" s="1003"/>
      <c r="AE136" s="1003"/>
      <c r="AF136" s="1004"/>
      <c r="AG136"/>
    </row>
    <row r="137" spans="3:33" ht="15" thickBot="1" x14ac:dyDescent="0.4">
      <c r="C137" s="993" t="s">
        <v>421</v>
      </c>
      <c r="D137" s="996" t="s">
        <v>416</v>
      </c>
      <c r="E137" s="997"/>
      <c r="F137" s="997"/>
      <c r="G137" s="997"/>
      <c r="H137" s="997"/>
      <c r="I137" s="997"/>
      <c r="J137" s="997"/>
      <c r="K137" s="997"/>
      <c r="L137" s="997"/>
      <c r="M137" s="997"/>
      <c r="N137" s="997"/>
      <c r="O137" s="997"/>
      <c r="P137" s="997"/>
      <c r="Q137" s="997"/>
      <c r="R137" s="997"/>
      <c r="S137" s="997"/>
      <c r="T137" s="997"/>
      <c r="U137" s="997"/>
      <c r="V137" s="998"/>
      <c r="W137" s="999" t="s">
        <v>420</v>
      </c>
      <c r="X137" s="1000"/>
      <c r="Y137" s="1000"/>
      <c r="Z137" s="1000"/>
      <c r="AA137" s="1000"/>
      <c r="AB137" s="1000"/>
      <c r="AC137" s="1000"/>
      <c r="AD137" s="1000"/>
      <c r="AE137" s="1000"/>
      <c r="AF137" s="1001"/>
      <c r="AG137"/>
    </row>
    <row r="138" spans="3:33" x14ac:dyDescent="0.35">
      <c r="C138" s="994"/>
      <c r="D138" s="1005" t="s">
        <v>417</v>
      </c>
      <c r="E138" s="1006"/>
      <c r="F138" s="1006"/>
      <c r="G138" s="1006"/>
      <c r="H138" s="1007"/>
      <c r="I138" s="1005" t="s">
        <v>418</v>
      </c>
      <c r="J138" s="1006"/>
      <c r="K138" s="1006"/>
      <c r="L138" s="1006"/>
      <c r="M138" s="1006"/>
      <c r="N138" s="1006"/>
      <c r="O138" s="1006"/>
      <c r="P138" s="1006"/>
      <c r="Q138" s="1006"/>
      <c r="R138" s="1006"/>
      <c r="S138" s="1007"/>
      <c r="T138" s="1005" t="s">
        <v>419</v>
      </c>
      <c r="U138" s="1006"/>
      <c r="V138" s="1007"/>
      <c r="W138" s="999"/>
      <c r="X138" s="1000"/>
      <c r="Y138" s="1000"/>
      <c r="Z138" s="1000"/>
      <c r="AA138" s="1000"/>
      <c r="AB138" s="1000"/>
      <c r="AC138" s="1000"/>
      <c r="AD138" s="1000"/>
      <c r="AE138" s="1000"/>
      <c r="AF138" s="1001"/>
      <c r="AG138"/>
    </row>
    <row r="139" spans="3:33" x14ac:dyDescent="0.35">
      <c r="C139" s="995"/>
      <c r="D139" s="708" t="s">
        <v>422</v>
      </c>
      <c r="E139" s="709">
        <v>11</v>
      </c>
      <c r="F139" s="709">
        <v>12</v>
      </c>
      <c r="G139" s="709">
        <v>13</v>
      </c>
      <c r="H139" s="710">
        <v>14</v>
      </c>
      <c r="I139" s="708">
        <v>15</v>
      </c>
      <c r="J139" s="709">
        <v>16</v>
      </c>
      <c r="K139" s="709">
        <v>17</v>
      </c>
      <c r="L139" s="709">
        <v>18</v>
      </c>
      <c r="M139" s="709">
        <v>19</v>
      </c>
      <c r="N139" s="709">
        <v>20</v>
      </c>
      <c r="O139" s="709">
        <v>21</v>
      </c>
      <c r="P139" s="709">
        <v>22</v>
      </c>
      <c r="Q139" s="709">
        <v>23</v>
      </c>
      <c r="R139" s="709">
        <v>24</v>
      </c>
      <c r="S139" s="710">
        <v>25</v>
      </c>
      <c r="T139" s="708">
        <v>26</v>
      </c>
      <c r="U139" s="709">
        <v>27</v>
      </c>
      <c r="V139" s="710" t="s">
        <v>423</v>
      </c>
      <c r="W139" s="999"/>
      <c r="X139" s="1000"/>
      <c r="Y139" s="1000"/>
      <c r="Z139" s="1000"/>
      <c r="AA139" s="1000"/>
      <c r="AB139" s="1000"/>
      <c r="AC139" s="1000"/>
      <c r="AD139" s="1000"/>
      <c r="AE139" s="1000"/>
      <c r="AF139" s="1001"/>
      <c r="AG139"/>
    </row>
    <row r="140" spans="3:33" x14ac:dyDescent="0.35">
      <c r="C140" s="711" t="s">
        <v>424</v>
      </c>
      <c r="D140" s="712">
        <v>0.01</v>
      </c>
      <c r="E140" s="713">
        <v>0.01</v>
      </c>
      <c r="F140" s="713">
        <v>0.01</v>
      </c>
      <c r="G140" s="713">
        <v>0.01</v>
      </c>
      <c r="H140" s="714">
        <v>0.01</v>
      </c>
      <c r="I140" s="712">
        <v>1.4999999999999999E-2</v>
      </c>
      <c r="J140" s="713">
        <v>1.4999999999999999E-2</v>
      </c>
      <c r="K140" s="713">
        <v>1.4999999999999999E-2</v>
      </c>
      <c r="L140" s="713">
        <v>1.4999999999999999E-2</v>
      </c>
      <c r="M140" s="713">
        <v>1.4999999999999999E-2</v>
      </c>
      <c r="N140" s="713">
        <v>1.4999999999999999E-2</v>
      </c>
      <c r="O140" s="713">
        <v>1.4999999999999999E-2</v>
      </c>
      <c r="P140" s="713">
        <v>1.4999999999999999E-2</v>
      </c>
      <c r="Q140" s="713">
        <v>1.4999999999999999E-2</v>
      </c>
      <c r="R140" s="713">
        <v>1.4999999999999999E-2</v>
      </c>
      <c r="S140" s="714">
        <v>1.4999999999999999E-2</v>
      </c>
      <c r="T140" s="712">
        <v>0.02</v>
      </c>
      <c r="U140" s="713">
        <v>0.02</v>
      </c>
      <c r="V140" s="714">
        <v>0.02</v>
      </c>
      <c r="W140" s="979" t="s">
        <v>425</v>
      </c>
      <c r="X140" s="980"/>
      <c r="Y140" s="980"/>
      <c r="Z140" s="980"/>
      <c r="AA140" s="980"/>
      <c r="AB140" s="980"/>
      <c r="AC140" s="980"/>
      <c r="AD140" s="980"/>
      <c r="AE140" s="980"/>
      <c r="AF140" s="981"/>
      <c r="AG140"/>
    </row>
    <row r="141" spans="3:33" x14ac:dyDescent="0.35">
      <c r="C141" s="711" t="s">
        <v>426</v>
      </c>
      <c r="D141" s="712">
        <v>1E-3</v>
      </c>
      <c r="E141" s="713">
        <v>1E-3</v>
      </c>
      <c r="F141" s="713">
        <v>1E-3</v>
      </c>
      <c r="G141" s="713">
        <v>1E-3</v>
      </c>
      <c r="H141" s="714">
        <v>1E-3</v>
      </c>
      <c r="I141" s="712">
        <v>5.0000000000000001E-3</v>
      </c>
      <c r="J141" s="713">
        <v>5.0000000000000001E-3</v>
      </c>
      <c r="K141" s="713">
        <v>5.0000000000000001E-3</v>
      </c>
      <c r="L141" s="713">
        <v>5.0000000000000001E-3</v>
      </c>
      <c r="M141" s="713">
        <v>5.0000000000000001E-3</v>
      </c>
      <c r="N141" s="713">
        <v>5.0000000000000001E-3</v>
      </c>
      <c r="O141" s="713">
        <v>5.0000000000000001E-3</v>
      </c>
      <c r="P141" s="713">
        <v>5.0000000000000001E-3</v>
      </c>
      <c r="Q141" s="713">
        <v>5.0000000000000001E-3</v>
      </c>
      <c r="R141" s="713">
        <v>5.0000000000000001E-3</v>
      </c>
      <c r="S141" s="714">
        <v>5.0000000000000001E-3</v>
      </c>
      <c r="T141" s="712">
        <v>0.01</v>
      </c>
      <c r="U141" s="713">
        <v>0.01</v>
      </c>
      <c r="V141" s="714">
        <v>0.01</v>
      </c>
      <c r="W141" s="979" t="s">
        <v>427</v>
      </c>
      <c r="X141" s="980"/>
      <c r="Y141" s="980"/>
      <c r="Z141" s="980"/>
      <c r="AA141" s="980"/>
      <c r="AB141" s="980"/>
      <c r="AC141" s="980"/>
      <c r="AD141" s="980"/>
      <c r="AE141" s="980"/>
      <c r="AF141" s="981"/>
      <c r="AG141"/>
    </row>
    <row r="142" spans="3:33" ht="26.25" customHeight="1" x14ac:dyDescent="0.35">
      <c r="C142" s="711" t="s">
        <v>428</v>
      </c>
      <c r="D142" s="712">
        <v>0.02</v>
      </c>
      <c r="E142" s="713">
        <v>0.02</v>
      </c>
      <c r="F142" s="713">
        <v>0.02</v>
      </c>
      <c r="G142" s="713">
        <v>0.02</v>
      </c>
      <c r="H142" s="714">
        <v>0.02</v>
      </c>
      <c r="I142" s="712">
        <v>0.04</v>
      </c>
      <c r="J142" s="713">
        <v>0.04</v>
      </c>
      <c r="K142" s="713">
        <v>0.04</v>
      </c>
      <c r="L142" s="713">
        <v>0.04</v>
      </c>
      <c r="M142" s="713">
        <v>0.04</v>
      </c>
      <c r="N142" s="713">
        <v>0.04</v>
      </c>
      <c r="O142" s="713">
        <v>0.04</v>
      </c>
      <c r="P142" s="713">
        <v>0.04</v>
      </c>
      <c r="Q142" s="713">
        <v>0.04</v>
      </c>
      <c r="R142" s="713">
        <v>0.04</v>
      </c>
      <c r="S142" s="714">
        <v>0.04</v>
      </c>
      <c r="T142" s="712">
        <v>0.05</v>
      </c>
      <c r="U142" s="713">
        <v>0.05</v>
      </c>
      <c r="V142" s="714">
        <v>0.05</v>
      </c>
      <c r="W142" s="979" t="s">
        <v>429</v>
      </c>
      <c r="X142" s="980"/>
      <c r="Y142" s="980"/>
      <c r="Z142" s="980"/>
      <c r="AA142" s="980"/>
      <c r="AB142" s="980"/>
      <c r="AC142" s="980"/>
      <c r="AD142" s="980"/>
      <c r="AE142" s="980"/>
      <c r="AF142" s="981"/>
      <c r="AG142"/>
    </row>
    <row r="143" spans="3:33" x14ac:dyDescent="0.35">
      <c r="C143" s="711" t="s">
        <v>430</v>
      </c>
      <c r="D143" s="712">
        <v>0.01</v>
      </c>
      <c r="E143" s="713">
        <v>0.01</v>
      </c>
      <c r="F143" s="713">
        <v>0.01</v>
      </c>
      <c r="G143" s="713">
        <v>0.01</v>
      </c>
      <c r="H143" s="714">
        <v>0.01</v>
      </c>
      <c r="I143" s="712">
        <v>1.4999999999999999E-2</v>
      </c>
      <c r="J143" s="713">
        <v>1.4999999999999999E-2</v>
      </c>
      <c r="K143" s="713">
        <v>1.4999999999999999E-2</v>
      </c>
      <c r="L143" s="713">
        <v>1.4999999999999999E-2</v>
      </c>
      <c r="M143" s="713">
        <v>1.4999999999999999E-2</v>
      </c>
      <c r="N143" s="713">
        <v>1.4999999999999999E-2</v>
      </c>
      <c r="O143" s="713">
        <v>1.4999999999999999E-2</v>
      </c>
      <c r="P143" s="713">
        <v>1.4999999999999999E-2</v>
      </c>
      <c r="Q143" s="713">
        <v>1.4999999999999999E-2</v>
      </c>
      <c r="R143" s="713">
        <v>1.4999999999999999E-2</v>
      </c>
      <c r="S143" s="714">
        <v>1.4999999999999999E-2</v>
      </c>
      <c r="T143" s="712">
        <v>0.02</v>
      </c>
      <c r="U143" s="713">
        <v>0.02</v>
      </c>
      <c r="V143" s="714">
        <v>0.02</v>
      </c>
      <c r="W143" s="979" t="s">
        <v>425</v>
      </c>
      <c r="X143" s="980"/>
      <c r="Y143" s="980"/>
      <c r="Z143" s="980"/>
      <c r="AA143" s="980"/>
      <c r="AB143" s="980"/>
      <c r="AC143" s="980"/>
      <c r="AD143" s="980"/>
      <c r="AE143" s="980"/>
      <c r="AF143" s="981"/>
      <c r="AG143"/>
    </row>
    <row r="144" spans="3:33" ht="26" x14ac:dyDescent="0.35">
      <c r="C144" s="711" t="s">
        <v>539</v>
      </c>
      <c r="D144" s="715">
        <v>0.1</v>
      </c>
      <c r="E144" s="716">
        <v>0.11</v>
      </c>
      <c r="F144" s="716">
        <v>0.13</v>
      </c>
      <c r="G144" s="716">
        <v>0.14000000000000001</v>
      </c>
      <c r="H144" s="717">
        <v>0.15</v>
      </c>
      <c r="I144" s="715">
        <v>0.17</v>
      </c>
      <c r="J144" s="716">
        <v>0.18</v>
      </c>
      <c r="K144" s="716">
        <v>0.2</v>
      </c>
      <c r="L144" s="716">
        <v>0.22</v>
      </c>
      <c r="M144" s="716">
        <v>0.24</v>
      </c>
      <c r="N144" s="716">
        <v>0.26</v>
      </c>
      <c r="O144" s="716">
        <v>0.28999999999999998</v>
      </c>
      <c r="P144" s="716">
        <v>0.31</v>
      </c>
      <c r="Q144" s="716">
        <v>0.34</v>
      </c>
      <c r="R144" s="716">
        <v>0.37</v>
      </c>
      <c r="S144" s="717">
        <v>0.41</v>
      </c>
      <c r="T144" s="715">
        <v>0.44</v>
      </c>
      <c r="U144" s="716">
        <v>0.48</v>
      </c>
      <c r="V144" s="717">
        <v>0.5</v>
      </c>
      <c r="W144" s="983" t="s">
        <v>431</v>
      </c>
      <c r="X144" s="984"/>
      <c r="Y144" s="984"/>
      <c r="Z144" s="984"/>
      <c r="AA144" s="984"/>
      <c r="AB144" s="984"/>
      <c r="AC144" s="984"/>
      <c r="AD144" s="984"/>
      <c r="AE144" s="984"/>
      <c r="AF144" s="985"/>
      <c r="AG144"/>
    </row>
    <row r="145" spans="3:33" x14ac:dyDescent="0.35">
      <c r="C145" s="711" t="s">
        <v>538</v>
      </c>
      <c r="D145" s="715">
        <v>0.17</v>
      </c>
      <c r="E145" s="716">
        <v>0.19</v>
      </c>
      <c r="F145" s="716">
        <v>0.2</v>
      </c>
      <c r="G145" s="716">
        <v>0.22</v>
      </c>
      <c r="H145" s="717">
        <v>0.25</v>
      </c>
      <c r="I145" s="715">
        <v>0.27</v>
      </c>
      <c r="J145" s="716">
        <v>0.28999999999999998</v>
      </c>
      <c r="K145" s="716">
        <v>0.32</v>
      </c>
      <c r="L145" s="716">
        <v>0.35</v>
      </c>
      <c r="M145" s="716">
        <v>0.39</v>
      </c>
      <c r="N145" s="716">
        <v>0.42</v>
      </c>
      <c r="O145" s="716">
        <v>0.46</v>
      </c>
      <c r="P145" s="716">
        <v>0.5</v>
      </c>
      <c r="Q145" s="716">
        <v>0.55000000000000004</v>
      </c>
      <c r="R145" s="716">
        <v>0.6</v>
      </c>
      <c r="S145" s="717">
        <v>0.65</v>
      </c>
      <c r="T145" s="715">
        <v>0.71</v>
      </c>
      <c r="U145" s="716">
        <v>0.78</v>
      </c>
      <c r="V145" s="717">
        <v>0.8</v>
      </c>
      <c r="W145" s="979" t="s">
        <v>432</v>
      </c>
      <c r="X145" s="980"/>
      <c r="Y145" s="980"/>
      <c r="Z145" s="980"/>
      <c r="AA145" s="980"/>
      <c r="AB145" s="980"/>
      <c r="AC145" s="980"/>
      <c r="AD145" s="980"/>
      <c r="AE145" s="980"/>
      <c r="AF145" s="981"/>
      <c r="AG145"/>
    </row>
    <row r="146" spans="3:33" ht="28.5" customHeight="1" x14ac:dyDescent="0.35">
      <c r="C146" s="711" t="s">
        <v>433</v>
      </c>
      <c r="D146" s="715">
        <v>0.66</v>
      </c>
      <c r="E146" s="716">
        <v>0.68</v>
      </c>
      <c r="F146" s="716">
        <v>0.7</v>
      </c>
      <c r="G146" s="716">
        <v>0.71</v>
      </c>
      <c r="H146" s="717">
        <v>0.73</v>
      </c>
      <c r="I146" s="715">
        <v>0.74</v>
      </c>
      <c r="J146" s="716">
        <v>0.75</v>
      </c>
      <c r="K146" s="716">
        <v>0.76</v>
      </c>
      <c r="L146" s="716">
        <v>0.77</v>
      </c>
      <c r="M146" s="716">
        <v>0.77</v>
      </c>
      <c r="N146" s="716">
        <v>0.78</v>
      </c>
      <c r="O146" s="716">
        <v>0.78</v>
      </c>
      <c r="P146" s="716">
        <v>0.78</v>
      </c>
      <c r="Q146" s="716">
        <v>0.79</v>
      </c>
      <c r="R146" s="716">
        <v>0.79</v>
      </c>
      <c r="S146" s="717">
        <v>0.79</v>
      </c>
      <c r="T146" s="715">
        <v>0.79</v>
      </c>
      <c r="U146" s="716">
        <v>0.8</v>
      </c>
      <c r="V146" s="717">
        <v>0.8</v>
      </c>
      <c r="W146" s="979" t="s">
        <v>434</v>
      </c>
      <c r="X146" s="980"/>
      <c r="Y146" s="980"/>
      <c r="Z146" s="980"/>
      <c r="AA146" s="980"/>
      <c r="AB146" s="980"/>
      <c r="AC146" s="980"/>
      <c r="AD146" s="980"/>
      <c r="AE146" s="980"/>
      <c r="AF146" s="981"/>
      <c r="AG146"/>
    </row>
    <row r="147" spans="3:33" ht="26" x14ac:dyDescent="0.35">
      <c r="C147" s="711" t="s">
        <v>505</v>
      </c>
      <c r="D147" s="712">
        <v>0.03</v>
      </c>
      <c r="E147" s="713">
        <v>0.03</v>
      </c>
      <c r="F147" s="713">
        <v>0.03</v>
      </c>
      <c r="G147" s="713">
        <v>0.03</v>
      </c>
      <c r="H147" s="714">
        <v>0.03</v>
      </c>
      <c r="I147" s="712">
        <v>0.03</v>
      </c>
      <c r="J147" s="713">
        <v>0.03</v>
      </c>
      <c r="K147" s="713">
        <v>0.03</v>
      </c>
      <c r="L147" s="713">
        <v>0.03</v>
      </c>
      <c r="M147" s="713">
        <v>0.03</v>
      </c>
      <c r="N147" s="713">
        <v>0.03</v>
      </c>
      <c r="O147" s="713">
        <v>0.03</v>
      </c>
      <c r="P147" s="713">
        <v>0.03</v>
      </c>
      <c r="Q147" s="713">
        <v>0.03</v>
      </c>
      <c r="R147" s="713">
        <v>0.03</v>
      </c>
      <c r="S147" s="714">
        <v>0.03</v>
      </c>
      <c r="T147" s="712">
        <v>0.03</v>
      </c>
      <c r="U147" s="713">
        <v>0.03</v>
      </c>
      <c r="V147" s="714">
        <v>0.03</v>
      </c>
      <c r="W147" s="979" t="s">
        <v>435</v>
      </c>
      <c r="X147" s="980"/>
      <c r="Y147" s="980"/>
      <c r="Z147" s="980"/>
      <c r="AA147" s="980"/>
      <c r="AB147" s="980"/>
      <c r="AC147" s="980"/>
      <c r="AD147" s="980"/>
      <c r="AE147" s="980"/>
      <c r="AF147" s="981"/>
      <c r="AG147"/>
    </row>
    <row r="148" spans="3:33" ht="26" x14ac:dyDescent="0.35">
      <c r="C148" s="718" t="s">
        <v>504</v>
      </c>
      <c r="D148" s="715">
        <v>0.17</v>
      </c>
      <c r="E148" s="716">
        <v>0.19</v>
      </c>
      <c r="F148" s="716">
        <v>0.2</v>
      </c>
      <c r="G148" s="716">
        <v>0.22</v>
      </c>
      <c r="H148" s="717">
        <v>0.25</v>
      </c>
      <c r="I148" s="715">
        <v>0.27</v>
      </c>
      <c r="J148" s="716">
        <v>0.28999999999999998</v>
      </c>
      <c r="K148" s="716">
        <v>0.32</v>
      </c>
      <c r="L148" s="716">
        <v>0.35</v>
      </c>
      <c r="M148" s="716">
        <v>0.39</v>
      </c>
      <c r="N148" s="716">
        <v>0.42</v>
      </c>
      <c r="O148" s="716">
        <v>0.46</v>
      </c>
      <c r="P148" s="716">
        <v>0.5</v>
      </c>
      <c r="Q148" s="716">
        <v>0.55000000000000004</v>
      </c>
      <c r="R148" s="716">
        <v>0.6</v>
      </c>
      <c r="S148" s="717">
        <v>0.65</v>
      </c>
      <c r="T148" s="715">
        <v>0.71</v>
      </c>
      <c r="U148" s="716">
        <v>0.78</v>
      </c>
      <c r="V148" s="717">
        <v>0.8</v>
      </c>
      <c r="W148" s="979" t="s">
        <v>436</v>
      </c>
      <c r="X148" s="980"/>
      <c r="Y148" s="980"/>
      <c r="Z148" s="980"/>
      <c r="AA148" s="980"/>
      <c r="AB148" s="980"/>
      <c r="AC148" s="980"/>
      <c r="AD148" s="980"/>
      <c r="AE148" s="980"/>
      <c r="AF148" s="981"/>
      <c r="AG148"/>
    </row>
    <row r="149" spans="3:33" ht="22.5" customHeight="1" x14ac:dyDescent="0.35">
      <c r="C149" s="711" t="s">
        <v>437</v>
      </c>
      <c r="D149" s="988" t="s">
        <v>508</v>
      </c>
      <c r="E149" s="989"/>
      <c r="F149" s="989"/>
      <c r="G149" s="989"/>
      <c r="H149" s="990"/>
      <c r="I149" s="988" t="s">
        <v>508</v>
      </c>
      <c r="J149" s="989"/>
      <c r="K149" s="989"/>
      <c r="L149" s="989"/>
      <c r="M149" s="989"/>
      <c r="N149" s="989"/>
      <c r="O149" s="989"/>
      <c r="P149" s="989"/>
      <c r="Q149" s="989"/>
      <c r="R149" s="989"/>
      <c r="S149" s="990"/>
      <c r="T149" s="988" t="s">
        <v>508</v>
      </c>
      <c r="U149" s="989"/>
      <c r="V149" s="990"/>
      <c r="W149" s="979" t="s">
        <v>438</v>
      </c>
      <c r="X149" s="980"/>
      <c r="Y149" s="980"/>
      <c r="Z149" s="980"/>
      <c r="AA149" s="980"/>
      <c r="AB149" s="980"/>
      <c r="AC149" s="980"/>
      <c r="AD149" s="980"/>
      <c r="AE149" s="980"/>
      <c r="AF149" s="981"/>
      <c r="AG149"/>
    </row>
    <row r="150" spans="3:33" x14ac:dyDescent="0.35">
      <c r="C150" s="711" t="s">
        <v>439</v>
      </c>
      <c r="D150" s="715">
        <v>0.1</v>
      </c>
      <c r="E150" s="716">
        <v>0.1</v>
      </c>
      <c r="F150" s="716">
        <v>0.1</v>
      </c>
      <c r="G150" s="716">
        <v>0.1</v>
      </c>
      <c r="H150" s="717">
        <v>0.1</v>
      </c>
      <c r="I150" s="715">
        <v>0.1</v>
      </c>
      <c r="J150" s="716">
        <v>0.1</v>
      </c>
      <c r="K150" s="716">
        <v>0.1</v>
      </c>
      <c r="L150" s="716">
        <v>0.1</v>
      </c>
      <c r="M150" s="716">
        <v>0.1</v>
      </c>
      <c r="N150" s="716">
        <v>0.1</v>
      </c>
      <c r="O150" s="716">
        <v>0.1</v>
      </c>
      <c r="P150" s="716">
        <v>0.1</v>
      </c>
      <c r="Q150" s="716">
        <v>0.1</v>
      </c>
      <c r="R150" s="716">
        <v>0.1</v>
      </c>
      <c r="S150" s="717">
        <v>0.1</v>
      </c>
      <c r="T150" s="715">
        <v>0.1</v>
      </c>
      <c r="U150" s="716">
        <v>0.1</v>
      </c>
      <c r="V150" s="717">
        <v>0.1</v>
      </c>
      <c r="W150" s="979" t="s">
        <v>440</v>
      </c>
      <c r="X150" s="980"/>
      <c r="Y150" s="980"/>
      <c r="Z150" s="980"/>
      <c r="AA150" s="980"/>
      <c r="AB150" s="980"/>
      <c r="AC150" s="980"/>
      <c r="AD150" s="980"/>
      <c r="AE150" s="980"/>
      <c r="AF150" s="981"/>
      <c r="AG150"/>
    </row>
    <row r="151" spans="3:33" ht="26" x14ac:dyDescent="0.35">
      <c r="C151" s="711" t="s">
        <v>506</v>
      </c>
      <c r="D151" s="712">
        <v>0.03</v>
      </c>
      <c r="E151" s="713">
        <v>0.03</v>
      </c>
      <c r="F151" s="713">
        <v>0.03</v>
      </c>
      <c r="G151" s="713">
        <v>0.03</v>
      </c>
      <c r="H151" s="714">
        <v>0.03</v>
      </c>
      <c r="I151" s="712">
        <v>0.03</v>
      </c>
      <c r="J151" s="713">
        <v>0.03</v>
      </c>
      <c r="K151" s="713">
        <v>0.03</v>
      </c>
      <c r="L151" s="713">
        <v>0.03</v>
      </c>
      <c r="M151" s="713">
        <v>0.03</v>
      </c>
      <c r="N151" s="713">
        <v>0.03</v>
      </c>
      <c r="O151" s="713">
        <v>0.03</v>
      </c>
      <c r="P151" s="713">
        <v>0.03</v>
      </c>
      <c r="Q151" s="713">
        <v>0.03</v>
      </c>
      <c r="R151" s="713">
        <v>0.03</v>
      </c>
      <c r="S151" s="714">
        <v>0.03</v>
      </c>
      <c r="T151" s="712">
        <v>0.3</v>
      </c>
      <c r="U151" s="713">
        <v>0.3</v>
      </c>
      <c r="V151" s="714">
        <v>0.3</v>
      </c>
      <c r="W151" s="979" t="s">
        <v>441</v>
      </c>
      <c r="X151" s="980"/>
      <c r="Y151" s="980"/>
      <c r="Z151" s="980"/>
      <c r="AA151" s="980"/>
      <c r="AB151" s="980"/>
      <c r="AC151" s="980"/>
      <c r="AD151" s="980"/>
      <c r="AE151" s="980"/>
      <c r="AF151" s="981"/>
      <c r="AG151"/>
    </row>
    <row r="152" spans="3:33" ht="26" x14ac:dyDescent="0.35">
      <c r="C152" s="711" t="s">
        <v>507</v>
      </c>
      <c r="D152" s="715">
        <v>0.17</v>
      </c>
      <c r="E152" s="716">
        <v>0.19</v>
      </c>
      <c r="F152" s="716">
        <v>0.2</v>
      </c>
      <c r="G152" s="716">
        <v>0.22</v>
      </c>
      <c r="H152" s="717">
        <v>0.25</v>
      </c>
      <c r="I152" s="715">
        <v>0.27</v>
      </c>
      <c r="J152" s="716">
        <v>0.28999999999999998</v>
      </c>
      <c r="K152" s="716">
        <v>0.32</v>
      </c>
      <c r="L152" s="716">
        <v>0.35</v>
      </c>
      <c r="M152" s="716">
        <v>0.39</v>
      </c>
      <c r="N152" s="716">
        <v>0.42</v>
      </c>
      <c r="O152" s="716">
        <v>0.46</v>
      </c>
      <c r="P152" s="716">
        <v>0.5</v>
      </c>
      <c r="Q152" s="716">
        <v>0.55000000000000004</v>
      </c>
      <c r="R152" s="716">
        <v>0.6</v>
      </c>
      <c r="S152" s="717">
        <v>0.65</v>
      </c>
      <c r="T152" s="715">
        <v>0.71</v>
      </c>
      <c r="U152" s="716">
        <v>0.78</v>
      </c>
      <c r="V152" s="717">
        <v>0.9</v>
      </c>
      <c r="W152" s="979" t="s">
        <v>442</v>
      </c>
      <c r="X152" s="980"/>
      <c r="Y152" s="980"/>
      <c r="Z152" s="980"/>
      <c r="AA152" s="980"/>
      <c r="AB152" s="980"/>
      <c r="AC152" s="980"/>
      <c r="AD152" s="980"/>
      <c r="AE152" s="980"/>
      <c r="AF152" s="981"/>
      <c r="AG152"/>
    </row>
    <row r="153" spans="3:33" ht="26" x14ac:dyDescent="0.35">
      <c r="C153" s="711" t="s">
        <v>443</v>
      </c>
      <c r="D153" s="712">
        <v>5.0000000000000001E-3</v>
      </c>
      <c r="E153" s="713">
        <v>5.0000000000000001E-3</v>
      </c>
      <c r="F153" s="713">
        <v>5.0000000000000001E-3</v>
      </c>
      <c r="G153" s="713">
        <v>5.0000000000000001E-3</v>
      </c>
      <c r="H153" s="714">
        <v>5.0000000000000001E-3</v>
      </c>
      <c r="I153" s="712">
        <v>5.0000000000000001E-3</v>
      </c>
      <c r="J153" s="713">
        <v>5.0000000000000001E-3</v>
      </c>
      <c r="K153" s="713">
        <v>5.0000000000000001E-3</v>
      </c>
      <c r="L153" s="713">
        <v>5.0000000000000001E-3</v>
      </c>
      <c r="M153" s="713">
        <v>5.0000000000000001E-3</v>
      </c>
      <c r="N153" s="713">
        <v>5.0000000000000001E-3</v>
      </c>
      <c r="O153" s="713">
        <v>5.0000000000000001E-3</v>
      </c>
      <c r="P153" s="713">
        <v>5.0000000000000001E-3</v>
      </c>
      <c r="Q153" s="713">
        <v>5.0000000000000001E-3</v>
      </c>
      <c r="R153" s="713">
        <v>5.0000000000000001E-3</v>
      </c>
      <c r="S153" s="714">
        <v>5.0000000000000001E-3</v>
      </c>
      <c r="T153" s="712">
        <v>5.0000000000000001E-3</v>
      </c>
      <c r="U153" s="713">
        <v>5.0000000000000001E-3</v>
      </c>
      <c r="V153" s="714">
        <v>5.0000000000000001E-3</v>
      </c>
      <c r="W153" s="979" t="s">
        <v>444</v>
      </c>
      <c r="X153" s="980"/>
      <c r="Y153" s="980"/>
      <c r="Z153" s="980"/>
      <c r="AA153" s="980"/>
      <c r="AB153" s="980"/>
      <c r="AC153" s="980"/>
      <c r="AD153" s="980"/>
      <c r="AE153" s="980"/>
      <c r="AF153" s="981"/>
      <c r="AG153"/>
    </row>
    <row r="154" spans="3:33" ht="26" x14ac:dyDescent="0.35">
      <c r="C154" s="711" t="s">
        <v>445</v>
      </c>
      <c r="D154" s="712">
        <v>5.0000000000000001E-3</v>
      </c>
      <c r="E154" s="713">
        <v>5.0000000000000001E-3</v>
      </c>
      <c r="F154" s="713">
        <v>5.0000000000000001E-3</v>
      </c>
      <c r="G154" s="713">
        <v>5.0000000000000001E-3</v>
      </c>
      <c r="H154" s="714">
        <v>5.0000000000000001E-3</v>
      </c>
      <c r="I154" s="712">
        <v>0.01</v>
      </c>
      <c r="J154" s="713">
        <v>0.01</v>
      </c>
      <c r="K154" s="713">
        <v>0.01</v>
      </c>
      <c r="L154" s="713">
        <v>0.01</v>
      </c>
      <c r="M154" s="713">
        <v>0.01</v>
      </c>
      <c r="N154" s="713">
        <v>0.01</v>
      </c>
      <c r="O154" s="713">
        <v>0.01</v>
      </c>
      <c r="P154" s="713">
        <v>0.01</v>
      </c>
      <c r="Q154" s="713">
        <v>0.01</v>
      </c>
      <c r="R154" s="713">
        <v>0.01</v>
      </c>
      <c r="S154" s="714">
        <v>0.01</v>
      </c>
      <c r="T154" s="712">
        <v>1.4999999999999999E-2</v>
      </c>
      <c r="U154" s="713">
        <v>1.4999999999999999E-2</v>
      </c>
      <c r="V154" s="714">
        <v>1.4999999999999999E-2</v>
      </c>
      <c r="W154" s="979" t="s">
        <v>446</v>
      </c>
      <c r="X154" s="980"/>
      <c r="Y154" s="980"/>
      <c r="Z154" s="980"/>
      <c r="AA154" s="980"/>
      <c r="AB154" s="980"/>
      <c r="AC154" s="980"/>
      <c r="AD154" s="980"/>
      <c r="AE154" s="980"/>
      <c r="AF154" s="981"/>
      <c r="AG154"/>
    </row>
    <row r="155" spans="3:33" ht="15" thickBot="1" x14ac:dyDescent="0.4">
      <c r="C155" s="719" t="s">
        <v>447</v>
      </c>
      <c r="D155" s="712">
        <v>0</v>
      </c>
      <c r="E155" s="713">
        <v>0</v>
      </c>
      <c r="F155" s="713">
        <v>0</v>
      </c>
      <c r="G155" s="713">
        <v>0</v>
      </c>
      <c r="H155" s="714">
        <v>0</v>
      </c>
      <c r="I155" s="712">
        <v>0</v>
      </c>
      <c r="J155" s="713">
        <v>0</v>
      </c>
      <c r="K155" s="713">
        <v>0</v>
      </c>
      <c r="L155" s="713">
        <v>0</v>
      </c>
      <c r="M155" s="713">
        <v>0</v>
      </c>
      <c r="N155" s="713">
        <v>0</v>
      </c>
      <c r="O155" s="713">
        <v>0</v>
      </c>
      <c r="P155" s="713">
        <v>0</v>
      </c>
      <c r="Q155" s="713">
        <v>0</v>
      </c>
      <c r="R155" s="713">
        <v>0</v>
      </c>
      <c r="S155" s="714">
        <v>0</v>
      </c>
      <c r="T155" s="712">
        <v>0</v>
      </c>
      <c r="U155" s="713">
        <v>0</v>
      </c>
      <c r="V155" s="714">
        <v>0</v>
      </c>
      <c r="W155" s="986" t="s">
        <v>448</v>
      </c>
      <c r="X155" s="986"/>
      <c r="Y155" s="986"/>
      <c r="Z155" s="986"/>
      <c r="AA155" s="986"/>
      <c r="AB155" s="986"/>
      <c r="AC155" s="986"/>
      <c r="AD155" s="986"/>
      <c r="AE155" s="986"/>
      <c r="AF155" s="987"/>
      <c r="AG155"/>
    </row>
    <row r="156" spans="3:33" x14ac:dyDescent="0.35">
      <c r="C156"/>
      <c r="D156"/>
      <c r="E156"/>
      <c r="F156"/>
      <c r="G156"/>
      <c r="H156"/>
      <c r="I156"/>
      <c r="J156"/>
      <c r="K156"/>
      <c r="L156"/>
      <c r="M156"/>
      <c r="N156"/>
      <c r="O156"/>
      <c r="P156"/>
      <c r="Q156"/>
      <c r="R156"/>
      <c r="S156"/>
      <c r="T156"/>
      <c r="U156"/>
      <c r="V156"/>
      <c r="W156"/>
      <c r="X156"/>
      <c r="Y156"/>
      <c r="Z156"/>
      <c r="AA156"/>
      <c r="AB156"/>
      <c r="AC156"/>
      <c r="AD156"/>
      <c r="AE156"/>
      <c r="AF156"/>
      <c r="AG156"/>
    </row>
    <row r="157" spans="3:33" x14ac:dyDescent="0.35">
      <c r="C157" s="251" t="s">
        <v>501</v>
      </c>
      <c r="D157" s="249"/>
      <c r="E157" s="249"/>
      <c r="F157" s="249"/>
      <c r="G157"/>
      <c r="H157"/>
      <c r="I157"/>
      <c r="J157"/>
      <c r="K157"/>
      <c r="L157"/>
      <c r="M157"/>
      <c r="N157"/>
      <c r="O157"/>
      <c r="P157"/>
      <c r="Q157"/>
      <c r="R157"/>
      <c r="S157"/>
      <c r="T157"/>
      <c r="U157"/>
      <c r="V157"/>
      <c r="W157"/>
      <c r="X157"/>
      <c r="Y157"/>
      <c r="Z157"/>
      <c r="AA157"/>
      <c r="AB157"/>
      <c r="AC157"/>
      <c r="AD157"/>
      <c r="AE157"/>
      <c r="AF157"/>
      <c r="AG157"/>
    </row>
    <row r="158" spans="3:33" ht="44.25" customHeight="1" thickBot="1" x14ac:dyDescent="0.4">
      <c r="C158" s="982" t="s">
        <v>449</v>
      </c>
      <c r="D158" s="982"/>
      <c r="E158" s="982"/>
      <c r="F158" s="982"/>
      <c r="G158" s="982"/>
      <c r="H158" s="982"/>
      <c r="I158"/>
      <c r="J158"/>
      <c r="K158"/>
      <c r="L158"/>
      <c r="M158"/>
      <c r="N158"/>
      <c r="O158"/>
      <c r="P158"/>
      <c r="Q158"/>
      <c r="R158"/>
      <c r="S158"/>
      <c r="T158"/>
      <c r="U158"/>
      <c r="V158"/>
      <c r="W158"/>
      <c r="X158"/>
      <c r="Y158"/>
      <c r="Z158"/>
      <c r="AA158"/>
      <c r="AB158"/>
      <c r="AC158"/>
      <c r="AD158"/>
      <c r="AE158"/>
      <c r="AF158"/>
      <c r="AG158"/>
    </row>
    <row r="159" spans="3:33" ht="25.5" customHeight="1" x14ac:dyDescent="0.35">
      <c r="C159" s="676" t="s">
        <v>450</v>
      </c>
      <c r="D159" s="678" t="s">
        <v>502</v>
      </c>
      <c r="E159" s="249"/>
      <c r="F159" s="249"/>
      <c r="G159"/>
      <c r="H159"/>
      <c r="I159"/>
      <c r="J159"/>
      <c r="K159"/>
      <c r="L159"/>
      <c r="M159"/>
      <c r="N159"/>
      <c r="O159"/>
      <c r="P159"/>
      <c r="Q159"/>
      <c r="R159"/>
      <c r="S159"/>
      <c r="T159"/>
      <c r="U159"/>
      <c r="V159"/>
      <c r="W159"/>
      <c r="X159"/>
      <c r="Y159"/>
      <c r="Z159"/>
      <c r="AA159"/>
      <c r="AB159"/>
      <c r="AC159"/>
      <c r="AD159"/>
      <c r="AE159"/>
      <c r="AF159"/>
      <c r="AG159"/>
    </row>
    <row r="160" spans="3:33" x14ac:dyDescent="0.35">
      <c r="C160" s="720" t="s">
        <v>451</v>
      </c>
      <c r="D160" s="721">
        <v>0.96</v>
      </c>
      <c r="E160" s="249"/>
      <c r="F160" s="249"/>
      <c r="G160"/>
      <c r="H160"/>
      <c r="I160"/>
      <c r="J160"/>
      <c r="K160"/>
      <c r="L160"/>
      <c r="M160"/>
      <c r="N160"/>
      <c r="O160"/>
      <c r="P160"/>
      <c r="Q160"/>
      <c r="R160"/>
      <c r="S160"/>
      <c r="T160"/>
      <c r="U160"/>
      <c r="V160"/>
      <c r="W160"/>
      <c r="X160"/>
      <c r="Y160"/>
      <c r="Z160"/>
      <c r="AA160"/>
      <c r="AB160"/>
      <c r="AC160"/>
      <c r="AD160"/>
      <c r="AE160"/>
      <c r="AF160"/>
      <c r="AG160"/>
    </row>
    <row r="161" spans="3:33" x14ac:dyDescent="0.35">
      <c r="C161" s="720" t="s">
        <v>452</v>
      </c>
      <c r="D161" s="721">
        <v>0.995</v>
      </c>
      <c r="E161" s="249"/>
      <c r="F161" s="249"/>
      <c r="G161"/>
      <c r="H161"/>
      <c r="I161"/>
      <c r="J161"/>
      <c r="K161"/>
      <c r="L161"/>
      <c r="M161"/>
      <c r="N161"/>
      <c r="O161"/>
      <c r="P161"/>
      <c r="Q161"/>
      <c r="R161"/>
      <c r="S161"/>
      <c r="T161"/>
      <c r="U161"/>
      <c r="V161"/>
      <c r="W161"/>
      <c r="X161"/>
      <c r="Y161"/>
      <c r="Z161"/>
      <c r="AA161"/>
      <c r="AB161"/>
      <c r="AC161"/>
      <c r="AD161"/>
      <c r="AE161"/>
      <c r="AF161"/>
      <c r="AG161"/>
    </row>
    <row r="162" spans="3:33" ht="26" x14ac:dyDescent="0.35">
      <c r="C162" s="720" t="s">
        <v>453</v>
      </c>
      <c r="D162" s="721">
        <v>0.93600000000000005</v>
      </c>
      <c r="E162" s="249"/>
      <c r="F162" s="249"/>
      <c r="G162"/>
      <c r="H162"/>
      <c r="I162"/>
      <c r="J162"/>
      <c r="K162"/>
      <c r="L162"/>
      <c r="M162"/>
      <c r="N162"/>
      <c r="O162"/>
      <c r="P162"/>
      <c r="Q162"/>
      <c r="R162"/>
      <c r="S162"/>
      <c r="T162"/>
      <c r="U162"/>
      <c r="V162"/>
      <c r="W162"/>
      <c r="X162"/>
      <c r="Y162"/>
      <c r="Z162"/>
      <c r="AA162"/>
      <c r="AB162"/>
      <c r="AC162"/>
      <c r="AD162"/>
      <c r="AE162"/>
      <c r="AF162"/>
      <c r="AG162"/>
    </row>
    <row r="163" spans="3:33" ht="26" x14ac:dyDescent="0.35">
      <c r="C163" s="720" t="s">
        <v>454</v>
      </c>
      <c r="D163" s="721">
        <v>0.995</v>
      </c>
      <c r="E163" s="249"/>
      <c r="F163" s="249"/>
      <c r="G163"/>
      <c r="H163"/>
      <c r="I163"/>
      <c r="J163"/>
      <c r="K163"/>
      <c r="L163"/>
      <c r="M163"/>
      <c r="N163"/>
      <c r="O163"/>
      <c r="P163"/>
      <c r="Q163"/>
      <c r="R163"/>
      <c r="S163"/>
      <c r="T163"/>
      <c r="U163"/>
      <c r="V163"/>
      <c r="W163"/>
      <c r="X163"/>
      <c r="Y163"/>
      <c r="Z163"/>
      <c r="AA163"/>
      <c r="AB163"/>
      <c r="AC163"/>
      <c r="AD163"/>
      <c r="AE163"/>
      <c r="AF163"/>
      <c r="AG163"/>
    </row>
    <row r="164" spans="3:33" x14ac:dyDescent="0.35">
      <c r="C164" s="720" t="s">
        <v>455</v>
      </c>
      <c r="D164" s="721">
        <v>0.98</v>
      </c>
      <c r="E164" s="249"/>
      <c r="F164" s="249"/>
      <c r="G164"/>
      <c r="H164"/>
      <c r="I164"/>
      <c r="J164"/>
      <c r="K164"/>
      <c r="L164"/>
      <c r="M164"/>
      <c r="N164"/>
      <c r="O164"/>
      <c r="P164"/>
      <c r="Q164"/>
      <c r="R164"/>
      <c r="S164"/>
      <c r="T164"/>
      <c r="U164"/>
      <c r="V164"/>
      <c r="W164"/>
      <c r="X164"/>
      <c r="Y164"/>
      <c r="Z164"/>
      <c r="AA164"/>
      <c r="AB164"/>
      <c r="AC164"/>
      <c r="AD164"/>
      <c r="AE164"/>
      <c r="AF164"/>
      <c r="AG164"/>
    </row>
    <row r="165" spans="3:33" ht="26" x14ac:dyDescent="0.35">
      <c r="C165" s="720" t="s">
        <v>456</v>
      </c>
      <c r="D165" s="721">
        <v>0.995</v>
      </c>
      <c r="E165" s="249"/>
      <c r="F165" s="249"/>
      <c r="G165"/>
      <c r="H165"/>
      <c r="I165"/>
      <c r="J165"/>
      <c r="K165"/>
      <c r="L165"/>
      <c r="M165"/>
      <c r="N165"/>
      <c r="O165"/>
      <c r="P165"/>
      <c r="Q165"/>
      <c r="R165"/>
      <c r="S165"/>
      <c r="T165"/>
      <c r="U165"/>
      <c r="V165"/>
      <c r="W165"/>
      <c r="X165"/>
      <c r="Y165"/>
      <c r="Z165"/>
      <c r="AA165"/>
      <c r="AB165"/>
      <c r="AC165"/>
      <c r="AD165"/>
      <c r="AE165"/>
      <c r="AF165"/>
      <c r="AG165"/>
    </row>
    <row r="166" spans="3:33" ht="26" x14ac:dyDescent="0.35">
      <c r="C166" s="720" t="s">
        <v>457</v>
      </c>
      <c r="D166" s="721">
        <v>0.95</v>
      </c>
      <c r="E166" s="249"/>
      <c r="F166" s="249"/>
      <c r="G166"/>
      <c r="H166"/>
      <c r="I166"/>
      <c r="J166"/>
      <c r="K166"/>
      <c r="L166"/>
      <c r="M166"/>
      <c r="N166"/>
      <c r="O166"/>
      <c r="P166"/>
      <c r="Q166"/>
      <c r="R166"/>
      <c r="S166"/>
      <c r="T166"/>
      <c r="U166"/>
      <c r="V166"/>
      <c r="W166"/>
      <c r="X166"/>
      <c r="Y166"/>
      <c r="Z166"/>
      <c r="AA166"/>
      <c r="AB166"/>
      <c r="AC166"/>
      <c r="AD166"/>
      <c r="AE166"/>
      <c r="AF166"/>
      <c r="AG166"/>
    </row>
    <row r="167" spans="3:33" ht="39" x14ac:dyDescent="0.35">
      <c r="C167" s="720" t="s">
        <v>458</v>
      </c>
      <c r="D167" s="721">
        <v>0.98</v>
      </c>
      <c r="E167" s="249"/>
      <c r="F167" s="249"/>
      <c r="G167"/>
      <c r="H167"/>
      <c r="I167"/>
      <c r="J167"/>
      <c r="K167"/>
      <c r="L167"/>
      <c r="M167"/>
      <c r="N167"/>
      <c r="O167"/>
      <c r="P167"/>
      <c r="Q167"/>
      <c r="R167"/>
      <c r="S167"/>
      <c r="T167"/>
      <c r="U167"/>
      <c r="V167"/>
      <c r="W167"/>
      <c r="X167"/>
      <c r="Y167"/>
      <c r="Z167"/>
      <c r="AA167"/>
      <c r="AB167"/>
      <c r="AC167"/>
      <c r="AD167"/>
      <c r="AE167"/>
      <c r="AF167"/>
      <c r="AG167"/>
    </row>
    <row r="168" spans="3:33" ht="21.5" thickBot="1" x14ac:dyDescent="0.4">
      <c r="C168" s="722" t="s">
        <v>459</v>
      </c>
      <c r="D168" s="723" t="s">
        <v>460</v>
      </c>
      <c r="E168" s="249"/>
      <c r="F168" s="249"/>
      <c r="G168"/>
      <c r="H168"/>
      <c r="I168"/>
      <c r="J168"/>
      <c r="K168"/>
      <c r="L168"/>
      <c r="M168"/>
      <c r="N168"/>
      <c r="O168"/>
      <c r="P168"/>
      <c r="Q168"/>
      <c r="R168"/>
      <c r="S168"/>
      <c r="T168"/>
      <c r="U168"/>
      <c r="V168"/>
      <c r="W168"/>
      <c r="X168"/>
      <c r="Y168"/>
      <c r="Z168"/>
      <c r="AA168"/>
      <c r="AB168"/>
      <c r="AC168"/>
      <c r="AD168"/>
      <c r="AE168"/>
      <c r="AF168"/>
      <c r="AG168"/>
    </row>
    <row r="169" spans="3:33" x14ac:dyDescent="0.35">
      <c r="C169"/>
      <c r="D169"/>
      <c r="E169"/>
      <c r="F169"/>
      <c r="G169"/>
      <c r="H169"/>
      <c r="I169"/>
      <c r="J169"/>
      <c r="K169"/>
      <c r="L169"/>
      <c r="M169"/>
      <c r="N169"/>
      <c r="O169"/>
      <c r="P169"/>
      <c r="Q169"/>
      <c r="R169"/>
      <c r="S169"/>
      <c r="T169"/>
      <c r="U169"/>
      <c r="V169"/>
      <c r="W169"/>
      <c r="X169"/>
      <c r="Y169"/>
      <c r="Z169"/>
      <c r="AA169"/>
      <c r="AB169"/>
      <c r="AC169"/>
      <c r="AD169"/>
      <c r="AE169"/>
      <c r="AF169"/>
      <c r="AG169"/>
    </row>
    <row r="170" spans="3:33" ht="15" thickBot="1" x14ac:dyDescent="0.4">
      <c r="C170" s="251" t="s">
        <v>503</v>
      </c>
      <c r="D170" s="249"/>
      <c r="E170"/>
      <c r="F170"/>
      <c r="G170"/>
      <c r="H170"/>
      <c r="I170"/>
      <c r="J170"/>
      <c r="K170"/>
      <c r="L170"/>
      <c r="M170"/>
      <c r="N170"/>
      <c r="O170"/>
      <c r="P170"/>
      <c r="Q170"/>
      <c r="R170"/>
      <c r="S170"/>
      <c r="T170"/>
      <c r="U170"/>
      <c r="V170"/>
      <c r="W170"/>
      <c r="X170"/>
      <c r="Y170"/>
      <c r="Z170"/>
      <c r="AA170"/>
      <c r="AB170"/>
      <c r="AC170"/>
      <c r="AD170"/>
      <c r="AE170"/>
      <c r="AF170"/>
      <c r="AG170"/>
    </row>
    <row r="171" spans="3:33" ht="57" customHeight="1" x14ac:dyDescent="0.35">
      <c r="C171" s="693" t="s">
        <v>461</v>
      </c>
      <c r="D171" s="677" t="s">
        <v>720</v>
      </c>
      <c r="E171" s="678" t="s">
        <v>721</v>
      </c>
      <c r="F171"/>
      <c r="G171"/>
      <c r="H171"/>
      <c r="I171"/>
      <c r="J171"/>
      <c r="K171"/>
      <c r="L171"/>
      <c r="M171"/>
      <c r="N171"/>
      <c r="O171"/>
      <c r="P171"/>
      <c r="Q171"/>
      <c r="R171"/>
      <c r="S171"/>
      <c r="T171"/>
      <c r="U171"/>
      <c r="V171"/>
      <c r="W171"/>
      <c r="X171"/>
      <c r="Y171"/>
      <c r="Z171"/>
      <c r="AA171"/>
      <c r="AB171"/>
      <c r="AC171"/>
      <c r="AD171"/>
      <c r="AE171"/>
      <c r="AF171"/>
      <c r="AG171"/>
    </row>
    <row r="172" spans="3:33" x14ac:dyDescent="0.35">
      <c r="C172" s="724" t="s">
        <v>462</v>
      </c>
      <c r="D172" s="725">
        <v>0.45</v>
      </c>
      <c r="E172" s="726">
        <f>1-D172</f>
        <v>0.55000000000000004</v>
      </c>
      <c r="F172"/>
      <c r="G172"/>
      <c r="H172"/>
      <c r="I172"/>
      <c r="J172"/>
      <c r="K172"/>
      <c r="L172"/>
      <c r="M172"/>
      <c r="N172"/>
      <c r="O172"/>
      <c r="P172"/>
      <c r="Q172"/>
      <c r="R172"/>
      <c r="S172"/>
      <c r="T172"/>
      <c r="U172"/>
      <c r="V172"/>
      <c r="W172"/>
      <c r="X172"/>
      <c r="Y172"/>
      <c r="Z172"/>
      <c r="AA172"/>
      <c r="AB172"/>
      <c r="AC172"/>
      <c r="AD172"/>
      <c r="AE172"/>
      <c r="AF172"/>
      <c r="AG172"/>
    </row>
    <row r="173" spans="3:33" x14ac:dyDescent="0.35">
      <c r="C173" s="727" t="s">
        <v>463</v>
      </c>
      <c r="D173" s="728"/>
      <c r="E173" s="729"/>
      <c r="F173"/>
      <c r="G173"/>
      <c r="H173"/>
      <c r="I173"/>
      <c r="J173"/>
      <c r="K173"/>
      <c r="L173"/>
      <c r="M173"/>
      <c r="N173"/>
      <c r="O173"/>
      <c r="P173"/>
      <c r="Q173"/>
      <c r="R173"/>
      <c r="S173"/>
      <c r="T173"/>
      <c r="U173"/>
      <c r="V173"/>
      <c r="W173"/>
      <c r="X173"/>
      <c r="Y173"/>
      <c r="Z173"/>
      <c r="AA173"/>
      <c r="AB173"/>
      <c r="AC173"/>
      <c r="AD173"/>
      <c r="AE173"/>
      <c r="AF173"/>
      <c r="AG173"/>
    </row>
    <row r="174" spans="3:33" x14ac:dyDescent="0.35">
      <c r="C174" s="730" t="s">
        <v>464</v>
      </c>
      <c r="D174" s="731">
        <v>0.17</v>
      </c>
      <c r="E174" s="732">
        <f t="shared" ref="E174:E179" si="1">1-D174</f>
        <v>0.83</v>
      </c>
      <c r="F174"/>
      <c r="G174"/>
      <c r="H174"/>
      <c r="I174"/>
      <c r="J174"/>
      <c r="K174"/>
      <c r="L174"/>
      <c r="M174"/>
      <c r="N174"/>
      <c r="O174"/>
      <c r="P174"/>
      <c r="Q174"/>
      <c r="R174"/>
      <c r="S174"/>
      <c r="T174"/>
      <c r="U174"/>
      <c r="V174"/>
      <c r="W174"/>
      <c r="X174"/>
      <c r="Y174"/>
      <c r="Z174"/>
      <c r="AA174"/>
      <c r="AB174"/>
      <c r="AC174"/>
      <c r="AD174"/>
      <c r="AE174"/>
      <c r="AF174"/>
      <c r="AG174"/>
    </row>
    <row r="175" spans="3:33" x14ac:dyDescent="0.35">
      <c r="C175" s="730" t="s">
        <v>465</v>
      </c>
      <c r="D175" s="733">
        <v>0.15</v>
      </c>
      <c r="E175" s="734">
        <f t="shared" si="1"/>
        <v>0.85</v>
      </c>
      <c r="F175"/>
      <c r="G175"/>
      <c r="H175"/>
      <c r="I175"/>
      <c r="J175"/>
      <c r="K175"/>
      <c r="L175"/>
      <c r="M175"/>
      <c r="N175"/>
      <c r="O175"/>
      <c r="P175"/>
      <c r="Q175"/>
      <c r="R175"/>
      <c r="S175"/>
      <c r="T175"/>
      <c r="U175"/>
      <c r="V175"/>
      <c r="W175"/>
      <c r="X175"/>
      <c r="Y175"/>
      <c r="Z175"/>
      <c r="AA175"/>
      <c r="AB175"/>
      <c r="AC175"/>
      <c r="AD175"/>
      <c r="AE175"/>
      <c r="AF175"/>
      <c r="AG175"/>
    </row>
    <row r="176" spans="3:33" x14ac:dyDescent="0.35">
      <c r="C176" s="730" t="s">
        <v>466</v>
      </c>
      <c r="D176" s="733">
        <v>0.25</v>
      </c>
      <c r="E176" s="734">
        <f t="shared" si="1"/>
        <v>0.75</v>
      </c>
      <c r="F176"/>
      <c r="G176"/>
      <c r="H176"/>
      <c r="I176"/>
      <c r="J176"/>
      <c r="K176"/>
      <c r="L176"/>
      <c r="M176"/>
      <c r="N176"/>
      <c r="O176"/>
      <c r="P176"/>
      <c r="Q176"/>
      <c r="R176"/>
      <c r="S176"/>
      <c r="T176"/>
      <c r="U176"/>
      <c r="V176"/>
      <c r="W176"/>
      <c r="X176"/>
      <c r="Y176"/>
      <c r="Z176"/>
      <c r="AA176"/>
      <c r="AB176"/>
      <c r="AC176"/>
      <c r="AD176"/>
      <c r="AE176"/>
      <c r="AF176"/>
      <c r="AG176"/>
    </row>
    <row r="177" spans="3:33" x14ac:dyDescent="0.35">
      <c r="C177" s="730" t="s">
        <v>467</v>
      </c>
      <c r="D177" s="733">
        <v>0.5</v>
      </c>
      <c r="E177" s="734">
        <f t="shared" si="1"/>
        <v>0.5</v>
      </c>
      <c r="F177"/>
      <c r="G177"/>
      <c r="H177"/>
      <c r="I177"/>
      <c r="J177"/>
      <c r="K177"/>
      <c r="L177"/>
      <c r="M177"/>
      <c r="N177"/>
      <c r="O177"/>
      <c r="P177"/>
      <c r="Q177"/>
      <c r="R177"/>
      <c r="S177"/>
      <c r="T177"/>
      <c r="U177"/>
      <c r="V177"/>
      <c r="W177"/>
      <c r="X177"/>
      <c r="Y177"/>
      <c r="Z177"/>
      <c r="AA177"/>
      <c r="AB177"/>
      <c r="AC177"/>
      <c r="AD177"/>
      <c r="AE177"/>
      <c r="AF177"/>
      <c r="AG177"/>
    </row>
    <row r="178" spans="3:33" x14ac:dyDescent="0.35">
      <c r="C178" s="730" t="s">
        <v>468</v>
      </c>
      <c r="D178" s="733">
        <v>0.25</v>
      </c>
      <c r="E178" s="734">
        <f t="shared" si="1"/>
        <v>0.75</v>
      </c>
      <c r="F178"/>
      <c r="G178"/>
      <c r="H178"/>
      <c r="I178"/>
      <c r="J178"/>
      <c r="K178"/>
      <c r="L178"/>
      <c r="M178"/>
      <c r="N178"/>
      <c r="O178"/>
      <c r="P178"/>
      <c r="Q178"/>
      <c r="R178"/>
      <c r="S178"/>
      <c r="T178"/>
      <c r="U178"/>
      <c r="V178"/>
      <c r="W178"/>
      <c r="X178"/>
      <c r="Y178"/>
      <c r="Z178"/>
      <c r="AA178"/>
      <c r="AB178"/>
      <c r="AC178"/>
      <c r="AD178"/>
      <c r="AE178"/>
      <c r="AF178"/>
      <c r="AG178"/>
    </row>
    <row r="179" spans="3:33" ht="15" thickBot="1" x14ac:dyDescent="0.4">
      <c r="C179" s="735" t="s">
        <v>469</v>
      </c>
      <c r="D179" s="736">
        <v>0.5</v>
      </c>
      <c r="E179" s="737">
        <f t="shared" si="1"/>
        <v>0.5</v>
      </c>
      <c r="F179"/>
      <c r="G179"/>
      <c r="H179"/>
      <c r="I179"/>
      <c r="J179"/>
      <c r="K179"/>
      <c r="L179"/>
      <c r="M179"/>
      <c r="N179"/>
      <c r="O179"/>
      <c r="P179"/>
      <c r="Q179"/>
      <c r="R179"/>
      <c r="S179"/>
      <c r="T179"/>
      <c r="U179"/>
      <c r="V179"/>
      <c r="W179"/>
      <c r="X179"/>
      <c r="Y179"/>
      <c r="Z179"/>
      <c r="AA179"/>
      <c r="AB179"/>
      <c r="AC179"/>
      <c r="AD179"/>
      <c r="AE179"/>
      <c r="AF179"/>
      <c r="AG179"/>
    </row>
    <row r="180" spans="3:33" x14ac:dyDescent="0.35">
      <c r="C180"/>
      <c r="D180"/>
      <c r="E180"/>
      <c r="F180"/>
      <c r="G180"/>
      <c r="H180"/>
      <c r="I180"/>
      <c r="J180"/>
      <c r="K180"/>
      <c r="L180"/>
      <c r="M180"/>
      <c r="N180"/>
      <c r="O180"/>
      <c r="P180"/>
      <c r="Q180"/>
      <c r="R180"/>
      <c r="S180"/>
      <c r="T180"/>
      <c r="U180"/>
      <c r="V180"/>
      <c r="W180"/>
      <c r="X180"/>
      <c r="Y180"/>
      <c r="Z180"/>
      <c r="AA180"/>
      <c r="AB180"/>
      <c r="AC180"/>
      <c r="AD180"/>
      <c r="AE180"/>
      <c r="AF180"/>
      <c r="AG180"/>
    </row>
    <row r="181" spans="3:33" ht="15" thickBot="1" x14ac:dyDescent="0.4">
      <c r="C181"/>
      <c r="D181"/>
      <c r="E181"/>
      <c r="F181"/>
      <c r="G181"/>
      <c r="H181"/>
      <c r="I181"/>
      <c r="J181"/>
      <c r="K181"/>
      <c r="L181"/>
      <c r="M181"/>
      <c r="N181"/>
      <c r="O181"/>
      <c r="P181"/>
      <c r="Q181"/>
      <c r="R181"/>
      <c r="S181"/>
      <c r="T181"/>
      <c r="U181"/>
      <c r="V181"/>
      <c r="W181"/>
      <c r="X181"/>
      <c r="Y181"/>
      <c r="Z181"/>
      <c r="AA181"/>
      <c r="AB181"/>
      <c r="AC181"/>
      <c r="AD181"/>
      <c r="AE181"/>
      <c r="AF181"/>
      <c r="AG181"/>
    </row>
    <row r="182" spans="3:33" ht="44" thickBot="1" x14ac:dyDescent="0.4">
      <c r="C182" s="738" t="s">
        <v>470</v>
      </c>
      <c r="D182"/>
      <c r="E182"/>
      <c r="F182"/>
      <c r="G182"/>
      <c r="H182"/>
      <c r="I182"/>
      <c r="J182"/>
      <c r="K182"/>
      <c r="L182"/>
      <c r="M182"/>
      <c r="N182"/>
      <c r="O182"/>
      <c r="P182"/>
      <c r="Q182"/>
      <c r="R182"/>
      <c r="S182"/>
      <c r="T182"/>
      <c r="U182"/>
      <c r="V182"/>
      <c r="W182"/>
      <c r="X182"/>
      <c r="Y182"/>
      <c r="Z182"/>
      <c r="AA182"/>
      <c r="AB182"/>
      <c r="AC182"/>
      <c r="AD182"/>
      <c r="AE182"/>
      <c r="AF182"/>
      <c r="AG182"/>
    </row>
    <row r="183" spans="3:33" ht="26.5" thickBot="1" x14ac:dyDescent="0.4">
      <c r="C183" s="256" t="s">
        <v>185</v>
      </c>
      <c r="D183"/>
      <c r="E183"/>
      <c r="F183"/>
      <c r="G183"/>
      <c r="H183"/>
      <c r="I183"/>
      <c r="J183"/>
      <c r="K183"/>
      <c r="L183"/>
      <c r="M183"/>
      <c r="N183"/>
      <c r="O183"/>
      <c r="P183"/>
      <c r="Q183"/>
      <c r="R183"/>
      <c r="S183"/>
      <c r="T183"/>
      <c r="U183"/>
      <c r="V183"/>
      <c r="W183"/>
      <c r="X183"/>
      <c r="Y183"/>
      <c r="Z183"/>
      <c r="AA183"/>
      <c r="AB183"/>
      <c r="AC183"/>
      <c r="AD183"/>
      <c r="AE183"/>
      <c r="AF183"/>
      <c r="AG183"/>
    </row>
    <row r="184" spans="3:33" ht="26.25" customHeight="1" x14ac:dyDescent="0.35">
      <c r="C184" s="739" t="s">
        <v>433</v>
      </c>
      <c r="D184"/>
      <c r="E184"/>
      <c r="F184"/>
      <c r="G184"/>
      <c r="H184"/>
      <c r="I184"/>
      <c r="J184"/>
      <c r="K184"/>
      <c r="L184"/>
      <c r="M184"/>
      <c r="N184"/>
      <c r="O184"/>
      <c r="P184"/>
      <c r="Q184"/>
      <c r="R184"/>
      <c r="S184"/>
      <c r="T184"/>
      <c r="U184"/>
      <c r="V184"/>
      <c r="W184"/>
      <c r="X184"/>
      <c r="Y184"/>
      <c r="Z184"/>
      <c r="AA184"/>
      <c r="AB184"/>
      <c r="AC184"/>
      <c r="AD184"/>
      <c r="AE184"/>
      <c r="AF184"/>
      <c r="AG184"/>
    </row>
    <row r="185" spans="3:33" x14ac:dyDescent="0.35">
      <c r="C185" s="740" t="s">
        <v>538</v>
      </c>
      <c r="D185"/>
      <c r="E185"/>
      <c r="F185"/>
      <c r="G185"/>
      <c r="H185"/>
      <c r="I185"/>
      <c r="J185"/>
      <c r="K185"/>
      <c r="L185"/>
      <c r="M185"/>
      <c r="N185"/>
      <c r="O185"/>
      <c r="P185"/>
      <c r="Q185"/>
      <c r="R185"/>
      <c r="S185"/>
      <c r="T185"/>
      <c r="U185"/>
      <c r="V185"/>
      <c r="W185"/>
      <c r="X185"/>
      <c r="Y185"/>
      <c r="Z185"/>
      <c r="AA185"/>
      <c r="AB185"/>
      <c r="AC185"/>
      <c r="AD185"/>
      <c r="AE185"/>
      <c r="AF185"/>
      <c r="AG185"/>
    </row>
    <row r="186" spans="3:33" ht="26" x14ac:dyDescent="0.35">
      <c r="C186" s="740" t="s">
        <v>539</v>
      </c>
      <c r="D186"/>
      <c r="E186"/>
      <c r="F186"/>
      <c r="G186"/>
      <c r="H186"/>
      <c r="I186"/>
      <c r="J186"/>
      <c r="K186"/>
      <c r="L186"/>
      <c r="M186"/>
      <c r="N186"/>
      <c r="O186"/>
      <c r="P186"/>
      <c r="Q186"/>
      <c r="R186"/>
      <c r="S186"/>
      <c r="T186"/>
      <c r="U186"/>
      <c r="V186"/>
      <c r="W186"/>
      <c r="X186"/>
      <c r="Y186"/>
      <c r="Z186"/>
      <c r="AA186"/>
      <c r="AB186"/>
      <c r="AC186"/>
      <c r="AD186"/>
      <c r="AE186"/>
      <c r="AF186"/>
      <c r="AG186"/>
    </row>
    <row r="187" spans="3:33" x14ac:dyDescent="0.35">
      <c r="C187" s="741" t="s">
        <v>424</v>
      </c>
      <c r="D187"/>
      <c r="E187"/>
      <c r="F187"/>
      <c r="G187"/>
      <c r="H187"/>
      <c r="I187"/>
      <c r="J187"/>
      <c r="K187"/>
      <c r="L187"/>
      <c r="M187"/>
      <c r="N187"/>
      <c r="O187"/>
      <c r="P187"/>
      <c r="Q187"/>
      <c r="R187"/>
      <c r="S187"/>
      <c r="T187"/>
      <c r="U187"/>
      <c r="V187"/>
      <c r="W187"/>
      <c r="X187"/>
      <c r="Y187"/>
      <c r="Z187"/>
      <c r="AA187"/>
      <c r="AB187"/>
      <c r="AC187"/>
      <c r="AD187"/>
      <c r="AE187"/>
      <c r="AF187"/>
      <c r="AG187"/>
    </row>
    <row r="188" spans="3:33" x14ac:dyDescent="0.35">
      <c r="C188" s="740" t="s">
        <v>426</v>
      </c>
      <c r="D188"/>
      <c r="E188"/>
      <c r="F188"/>
      <c r="G188"/>
      <c r="H188"/>
      <c r="I188"/>
      <c r="J188"/>
      <c r="K188"/>
      <c r="L188"/>
      <c r="M188"/>
      <c r="N188"/>
      <c r="O188"/>
      <c r="P188"/>
      <c r="Q188"/>
      <c r="R188"/>
      <c r="S188"/>
      <c r="T188"/>
      <c r="U188"/>
      <c r="V188"/>
      <c r="W188"/>
      <c r="X188"/>
      <c r="Y188"/>
      <c r="Z188"/>
      <c r="AA188"/>
      <c r="AB188"/>
      <c r="AC188"/>
      <c r="AD188"/>
      <c r="AE188"/>
      <c r="AF188"/>
      <c r="AG188"/>
    </row>
    <row r="189" spans="3:33" x14ac:dyDescent="0.35">
      <c r="C189" s="740" t="s">
        <v>428</v>
      </c>
      <c r="D189"/>
      <c r="E189"/>
      <c r="F189"/>
      <c r="G189"/>
      <c r="H189"/>
      <c r="I189"/>
      <c r="J189"/>
      <c r="K189"/>
      <c r="L189"/>
      <c r="M189"/>
      <c r="N189"/>
      <c r="O189"/>
      <c r="P189"/>
      <c r="Q189"/>
      <c r="R189"/>
      <c r="S189"/>
      <c r="T189"/>
      <c r="U189"/>
      <c r="V189"/>
      <c r="W189"/>
      <c r="X189"/>
      <c r="Y189"/>
      <c r="Z189"/>
      <c r="AA189"/>
      <c r="AB189"/>
      <c r="AC189"/>
      <c r="AD189"/>
      <c r="AE189"/>
      <c r="AF189"/>
      <c r="AG189"/>
    </row>
    <row r="190" spans="3:33" x14ac:dyDescent="0.35">
      <c r="C190" s="740" t="s">
        <v>430</v>
      </c>
      <c r="D190"/>
      <c r="E190"/>
      <c r="F190"/>
      <c r="G190"/>
      <c r="H190"/>
      <c r="I190"/>
      <c r="J190"/>
      <c r="K190"/>
      <c r="L190"/>
      <c r="M190"/>
      <c r="N190"/>
      <c r="O190"/>
      <c r="P190"/>
      <c r="Q190"/>
      <c r="R190"/>
      <c r="S190"/>
      <c r="T190"/>
      <c r="U190"/>
      <c r="V190"/>
      <c r="W190"/>
      <c r="X190"/>
      <c r="Y190"/>
      <c r="Z190"/>
      <c r="AA190"/>
      <c r="AB190"/>
      <c r="AC190"/>
      <c r="AD190"/>
      <c r="AE190"/>
      <c r="AF190"/>
      <c r="AG190"/>
    </row>
    <row r="191" spans="3:33" ht="26" x14ac:dyDescent="0.35">
      <c r="C191" s="740" t="s">
        <v>505</v>
      </c>
      <c r="D191"/>
      <c r="E191"/>
      <c r="F191"/>
      <c r="G191"/>
      <c r="H191"/>
      <c r="I191"/>
      <c r="J191"/>
      <c r="K191"/>
      <c r="L191"/>
      <c r="M191"/>
      <c r="N191"/>
      <c r="O191"/>
      <c r="P191"/>
      <c r="Q191"/>
      <c r="R191"/>
      <c r="S191"/>
      <c r="T191"/>
      <c r="U191"/>
      <c r="V191"/>
      <c r="W191"/>
      <c r="X191"/>
      <c r="Y191"/>
      <c r="Z191"/>
      <c r="AA191"/>
      <c r="AB191"/>
      <c r="AC191"/>
      <c r="AD191"/>
      <c r="AE191"/>
      <c r="AF191"/>
      <c r="AG191"/>
    </row>
    <row r="192" spans="3:33" ht="26" x14ac:dyDescent="0.35">
      <c r="C192" s="740" t="s">
        <v>504</v>
      </c>
      <c r="D192"/>
      <c r="E192"/>
      <c r="F192"/>
      <c r="G192"/>
      <c r="H192"/>
      <c r="I192"/>
      <c r="J192"/>
      <c r="K192"/>
      <c r="L192"/>
      <c r="M192"/>
      <c r="N192"/>
      <c r="O192"/>
      <c r="P192"/>
      <c r="Q192"/>
      <c r="R192"/>
      <c r="S192"/>
      <c r="T192"/>
      <c r="U192"/>
      <c r="V192"/>
      <c r="W192"/>
      <c r="X192"/>
      <c r="Y192"/>
      <c r="Z192"/>
      <c r="AA192"/>
      <c r="AB192"/>
      <c r="AC192"/>
      <c r="AD192"/>
      <c r="AE192"/>
      <c r="AF192"/>
      <c r="AG192"/>
    </row>
    <row r="193" spans="3:33" ht="26" x14ac:dyDescent="0.35">
      <c r="C193" s="740" t="s">
        <v>506</v>
      </c>
      <c r="D193"/>
      <c r="E193"/>
      <c r="F193"/>
      <c r="G193"/>
      <c r="H193"/>
      <c r="I193"/>
      <c r="J193"/>
      <c r="K193"/>
      <c r="L193"/>
      <c r="M193"/>
      <c r="N193"/>
      <c r="O193"/>
      <c r="P193"/>
      <c r="Q193"/>
      <c r="R193"/>
      <c r="S193"/>
      <c r="T193"/>
      <c r="U193"/>
      <c r="V193"/>
      <c r="W193"/>
      <c r="X193"/>
      <c r="Y193"/>
      <c r="Z193"/>
      <c r="AA193"/>
      <c r="AB193"/>
      <c r="AC193"/>
      <c r="AD193"/>
      <c r="AE193"/>
      <c r="AF193"/>
      <c r="AG193"/>
    </row>
    <row r="194" spans="3:33" ht="26" x14ac:dyDescent="0.35">
      <c r="C194" s="740" t="s">
        <v>507</v>
      </c>
      <c r="D194"/>
      <c r="E194"/>
      <c r="F194"/>
      <c r="G194"/>
      <c r="H194"/>
      <c r="I194"/>
      <c r="J194"/>
      <c r="K194"/>
      <c r="L194"/>
      <c r="M194"/>
      <c r="N194"/>
      <c r="O194"/>
      <c r="P194"/>
      <c r="Q194"/>
      <c r="R194"/>
      <c r="S194"/>
      <c r="T194"/>
      <c r="U194"/>
      <c r="V194"/>
      <c r="W194"/>
      <c r="X194"/>
      <c r="Y194"/>
      <c r="Z194"/>
      <c r="AA194"/>
      <c r="AB194"/>
      <c r="AC194"/>
      <c r="AD194"/>
      <c r="AE194"/>
      <c r="AF194"/>
      <c r="AG194"/>
    </row>
    <row r="195" spans="3:33" ht="26" x14ac:dyDescent="0.35">
      <c r="C195" s="740" t="s">
        <v>443</v>
      </c>
      <c r="D195"/>
      <c r="E195"/>
      <c r="F195"/>
      <c r="G195"/>
      <c r="H195"/>
      <c r="I195"/>
      <c r="J195"/>
      <c r="K195"/>
      <c r="L195"/>
      <c r="M195"/>
      <c r="N195"/>
      <c r="O195"/>
      <c r="P195"/>
      <c r="Q195"/>
      <c r="R195"/>
      <c r="S195"/>
      <c r="T195"/>
      <c r="U195"/>
      <c r="V195"/>
      <c r="W195"/>
      <c r="X195"/>
      <c r="Y195"/>
      <c r="Z195"/>
      <c r="AA195"/>
      <c r="AB195"/>
      <c r="AC195"/>
      <c r="AD195"/>
      <c r="AE195"/>
      <c r="AF195"/>
      <c r="AG195"/>
    </row>
    <row r="196" spans="3:33" ht="26" x14ac:dyDescent="0.35">
      <c r="C196" s="740" t="s">
        <v>445</v>
      </c>
      <c r="D196"/>
      <c r="E196"/>
      <c r="F196"/>
      <c r="G196"/>
      <c r="H196"/>
      <c r="I196"/>
      <c r="J196"/>
      <c r="K196"/>
      <c r="L196"/>
      <c r="M196"/>
      <c r="N196"/>
      <c r="O196"/>
      <c r="P196"/>
      <c r="Q196"/>
      <c r="R196"/>
      <c r="S196"/>
      <c r="T196"/>
      <c r="U196"/>
      <c r="V196"/>
      <c r="W196"/>
      <c r="X196"/>
      <c r="Y196"/>
      <c r="Z196"/>
      <c r="AA196"/>
      <c r="AB196"/>
      <c r="AC196"/>
      <c r="AD196"/>
      <c r="AE196"/>
      <c r="AF196"/>
      <c r="AG196"/>
    </row>
    <row r="197" spans="3:33" x14ac:dyDescent="0.35">
      <c r="C197" s="740" t="s">
        <v>447</v>
      </c>
      <c r="D197"/>
      <c r="E197"/>
      <c r="F197"/>
      <c r="G197"/>
      <c r="H197"/>
      <c r="I197"/>
      <c r="J197"/>
      <c r="K197"/>
      <c r="L197"/>
      <c r="M197"/>
      <c r="N197"/>
      <c r="O197"/>
      <c r="P197"/>
      <c r="Q197"/>
      <c r="R197"/>
      <c r="S197"/>
      <c r="T197"/>
      <c r="U197"/>
      <c r="V197"/>
      <c r="W197"/>
      <c r="X197"/>
      <c r="Y197"/>
      <c r="Z197"/>
      <c r="AA197"/>
      <c r="AB197"/>
      <c r="AC197"/>
      <c r="AD197"/>
      <c r="AE197"/>
      <c r="AF197"/>
      <c r="AG197"/>
    </row>
    <row r="198" spans="3:33" ht="15" thickBot="1" x14ac:dyDescent="0.4">
      <c r="C198" s="742" t="s">
        <v>439</v>
      </c>
      <c r="D198"/>
      <c r="E198"/>
      <c r="F198"/>
      <c r="G198"/>
      <c r="H198"/>
      <c r="I198"/>
      <c r="J198"/>
      <c r="K198"/>
      <c r="L198"/>
      <c r="M198"/>
      <c r="N198"/>
      <c r="O198"/>
      <c r="P198"/>
      <c r="Q198"/>
      <c r="R198"/>
      <c r="S198"/>
      <c r="T198"/>
      <c r="U198"/>
      <c r="V198"/>
      <c r="W198"/>
      <c r="X198"/>
      <c r="Y198"/>
      <c r="Z198"/>
      <c r="AA198"/>
      <c r="AB198"/>
      <c r="AC198"/>
      <c r="AD198"/>
      <c r="AE198"/>
      <c r="AF198"/>
      <c r="AG198"/>
    </row>
    <row r="199" spans="3:33" x14ac:dyDescent="0.35">
      <c r="C199"/>
      <c r="D199"/>
      <c r="E199"/>
      <c r="F199"/>
      <c r="G199"/>
      <c r="H199"/>
      <c r="I199"/>
      <c r="J199"/>
      <c r="K199"/>
      <c r="L199"/>
      <c r="M199"/>
      <c r="N199"/>
      <c r="O199"/>
      <c r="P199"/>
      <c r="Q199"/>
      <c r="R199"/>
      <c r="S199"/>
      <c r="T199"/>
      <c r="U199"/>
      <c r="V199"/>
      <c r="W199"/>
      <c r="X199"/>
      <c r="Y199"/>
      <c r="Z199"/>
      <c r="AA199"/>
      <c r="AB199"/>
      <c r="AC199"/>
      <c r="AD199"/>
      <c r="AE199"/>
      <c r="AF199"/>
      <c r="AG199"/>
    </row>
    <row r="200" spans="3:33" x14ac:dyDescent="0.35">
      <c r="C200"/>
      <c r="D200"/>
      <c r="E200"/>
      <c r="F200"/>
      <c r="G200"/>
      <c r="H200"/>
      <c r="I200"/>
      <c r="J200"/>
      <c r="K200"/>
      <c r="L200"/>
      <c r="M200"/>
      <c r="N200"/>
      <c r="O200"/>
      <c r="P200"/>
      <c r="Q200"/>
      <c r="R200"/>
      <c r="S200"/>
      <c r="T200"/>
      <c r="U200"/>
      <c r="V200"/>
      <c r="W200"/>
      <c r="X200"/>
      <c r="Y200"/>
      <c r="Z200"/>
      <c r="AA200"/>
      <c r="AB200"/>
      <c r="AC200"/>
      <c r="AD200"/>
      <c r="AE200"/>
      <c r="AF200"/>
      <c r="AG200"/>
    </row>
  </sheetData>
  <mergeCells count="38">
    <mergeCell ref="B2:E2"/>
    <mergeCell ref="B59:C60"/>
    <mergeCell ref="B36:B37"/>
    <mergeCell ref="B38:B40"/>
    <mergeCell ref="E39:E40"/>
    <mergeCell ref="E4:E32"/>
    <mergeCell ref="B4:B32"/>
    <mergeCell ref="T149:V149"/>
    <mergeCell ref="T138:V138"/>
    <mergeCell ref="I44:J44"/>
    <mergeCell ref="O25:P26"/>
    <mergeCell ref="R25:S26"/>
    <mergeCell ref="C77:C78"/>
    <mergeCell ref="C137:C139"/>
    <mergeCell ref="W140:AF140"/>
    <mergeCell ref="W141:AF141"/>
    <mergeCell ref="W142:AF142"/>
    <mergeCell ref="D137:V137"/>
    <mergeCell ref="W137:AF139"/>
    <mergeCell ref="C136:AF136"/>
    <mergeCell ref="D138:H138"/>
    <mergeCell ref="I138:S138"/>
    <mergeCell ref="W150:AF150"/>
    <mergeCell ref="C158:H158"/>
    <mergeCell ref="W143:AF143"/>
    <mergeCell ref="W144:AF144"/>
    <mergeCell ref="W147:AF147"/>
    <mergeCell ref="W148:AF148"/>
    <mergeCell ref="W149:AF149"/>
    <mergeCell ref="W145:AF145"/>
    <mergeCell ref="W146:AF146"/>
    <mergeCell ref="W154:AF154"/>
    <mergeCell ref="W155:AF155"/>
    <mergeCell ref="W153:AF153"/>
    <mergeCell ref="W151:AF151"/>
    <mergeCell ref="W152:AF152"/>
    <mergeCell ref="D149:H149"/>
    <mergeCell ref="I149:S149"/>
  </mergeCells>
  <hyperlinks>
    <hyperlink ref="D60" r:id="rId1" display=" - Appendix A of CARB's &quot;Compliance Offset Protocol Livestock Projects&quot; (2014)" xr:uid="{2F1EF259-42B5-44C2-9A79-EECB740D5F0E}"/>
    <hyperlink ref="C135" r:id="rId2" display="derived by CARB from Table 10.17 of &quot;Chapter 10: Emissions from Livestock and Manure Management&quot; of &quot;2006 IPCC Guidelines for National Greenhouse Gas Inventories&quot;" xr:uid="{6BA2AB2B-51BC-4F99-9986-294565516DA4}"/>
    <hyperlink ref="L65" r:id="rId3" display="MSU (2004) Manure Characteristics" xr:uid="{CB8E83E7-62EB-4C13-9866-7EDD4B8AD0CF}"/>
    <hyperlink ref="M104" r:id="rId4" display="https://www.energy.gov/sites/default/files/2025-01/generic-counterfactual-greenhouse-gas-emission-factor-for-life-cycle-assessment-of-manure-derived-biogas-and-renewable-natural-gas_010225.pdf" xr:uid="{31E9E225-3E0B-42BE-A747-57AC9286BA16}"/>
  </hyperlinks>
  <pageMargins left="0.7" right="0.7" top="0.75" bottom="0.75" header="0.3" footer="0.3"/>
  <pageSetup orientation="portrait" r:id="rId5"/>
  <drawing r:id="rId6"/>
  <legacyDrawing r:id="rId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93ADBBAC300204D917756E66EBC370C" ma:contentTypeVersion="11" ma:contentTypeDescription="Create a new document." ma:contentTypeScope="" ma:versionID="6d173c42f34865b9f8477060fe68196c">
  <xsd:schema xmlns:xsd="http://www.w3.org/2001/XMLSchema" xmlns:xs="http://www.w3.org/2001/XMLSchema" xmlns:p="http://schemas.microsoft.com/office/2006/metadata/properties" xmlns:ns2="48f7e80c-61ed-4043-9da3-abd35210c977" xmlns:ns3="cc46344e-ec94-4c24-ada3-0d817196d5c6" targetNamespace="http://schemas.microsoft.com/office/2006/metadata/properties" ma:root="true" ma:fieldsID="8575ffacea3b5e53c725262313f9270d" ns2:_="" ns3:_="">
    <xsd:import namespace="48f7e80c-61ed-4043-9da3-abd35210c977"/>
    <xsd:import namespace="cc46344e-ec94-4c24-ada3-0d817196d5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f7e80c-61ed-4043-9da3-abd35210c9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c46344e-ec94-4c24-ada3-0d817196d5c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0f2beb5-cb91-42b1-8a7a-d6d1282bd884}" ma:internalName="TaxCatchAll" ma:showField="CatchAllData" ma:web="cc46344e-ec94-4c24-ada3-0d817196d5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48f7e80c-61ed-4043-9da3-abd35210c977">
      <Terms xmlns="http://schemas.microsoft.com/office/infopath/2007/PartnerControls"/>
    </lcf76f155ced4ddcb4097134ff3c332f>
    <TaxCatchAll xmlns="cc46344e-ec94-4c24-ada3-0d817196d5c6" xsi:nil="true"/>
  </documentManagement>
</p:properties>
</file>

<file path=customXml/itemProps1.xml><?xml version="1.0" encoding="utf-8"?>
<ds:datastoreItem xmlns:ds="http://schemas.openxmlformats.org/officeDocument/2006/customXml" ds:itemID="{E36FB327-581A-4369-BBD7-D4C8C48752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f7e80c-61ed-4043-9da3-abd35210c977"/>
    <ds:schemaRef ds:uri="cc46344e-ec94-4c24-ada3-0d817196d5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FED5190-0836-4365-9F57-7AFC50BF1777}">
  <ds:schemaRefs>
    <ds:schemaRef ds:uri="http://schemas.microsoft.com/DataMashup"/>
  </ds:schemaRefs>
</ds:datastoreItem>
</file>

<file path=customXml/itemProps3.xml><?xml version="1.0" encoding="utf-8"?>
<ds:datastoreItem xmlns:ds="http://schemas.openxmlformats.org/officeDocument/2006/customXml" ds:itemID="{27699BFE-3EBD-45B7-BCA8-289187596CCE}">
  <ds:schemaRefs>
    <ds:schemaRef ds:uri="http://schemas.microsoft.com/sharepoint/v3/contenttype/forms"/>
  </ds:schemaRefs>
</ds:datastoreItem>
</file>

<file path=customXml/itemProps4.xml><?xml version="1.0" encoding="utf-8"?>
<ds:datastoreItem xmlns:ds="http://schemas.openxmlformats.org/officeDocument/2006/customXml" ds:itemID="{DFACE84D-EC47-4C21-840C-220748F3861E}">
  <ds:schemaRefs>
    <ds:schemaRef ds:uri="http://schemas.microsoft.com/office/2006/documentManagement/types"/>
    <ds:schemaRef ds:uri="cc46344e-ec94-4c24-ada3-0d817196d5c6"/>
    <ds:schemaRef ds:uri="http://schemas.openxmlformats.org/package/2006/metadata/core-properties"/>
    <ds:schemaRef ds:uri="http://schemas.microsoft.com/office/2006/metadata/properties"/>
    <ds:schemaRef ds:uri="http://purl.org/dc/elements/1.1/"/>
    <ds:schemaRef ds:uri="http://schemas.microsoft.com/office/infopath/2007/PartnerControls"/>
    <ds:schemaRef ds:uri="http://purl.org/dc/terms/"/>
    <ds:schemaRef ds:uri="48f7e80c-61ed-4043-9da3-abd35210c977"/>
    <ds:schemaRef ds:uri="http://www.w3.org/XML/1998/namespace"/>
    <ds:schemaRef ds:uri="http://purl.org/dc/dcmitype/"/>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174</vt:i4>
      </vt:variant>
    </vt:vector>
  </HeadingPairs>
  <TitlesOfParts>
    <vt:vector size="180" baseType="lpstr">
      <vt:lpstr>Introduction</vt:lpstr>
      <vt:lpstr>PathwaySummary</vt:lpstr>
      <vt:lpstr>ManureToBiogas</vt:lpstr>
      <vt:lpstr>AvoidedEmissions</vt:lpstr>
      <vt:lpstr>BiogasToBiomethane</vt:lpstr>
      <vt:lpstr>Background</vt:lpstr>
      <vt:lpstr>Btu2hph</vt:lpstr>
      <vt:lpstr>Btu2J</vt:lpstr>
      <vt:lpstr>Btu2kJ</vt:lpstr>
      <vt:lpstr>Btu2kWh</vt:lpstr>
      <vt:lpstr>Btu2MJ</vt:lpstr>
      <vt:lpstr>Btu2mmBtu</vt:lpstr>
      <vt:lpstr>Btu2Wh</vt:lpstr>
      <vt:lpstr>CContent_BD</vt:lpstr>
      <vt:lpstr>CContent_butane</vt:lpstr>
      <vt:lpstr>CContent_CBOB</vt:lpstr>
      <vt:lpstr>CContent_CH4</vt:lpstr>
      <vt:lpstr>CContent_CO</vt:lpstr>
      <vt:lpstr>CContent_CO2</vt:lpstr>
      <vt:lpstr>CContent_diesel</vt:lpstr>
      <vt:lpstr>CContent_E10</vt:lpstr>
      <vt:lpstr>CContent_EtOH</vt:lpstr>
      <vt:lpstr>CContent_LNG</vt:lpstr>
      <vt:lpstr>CContent_LPG</vt:lpstr>
      <vt:lpstr>CContent_MeOH</vt:lpstr>
      <vt:lpstr>CContent_NG</vt:lpstr>
      <vt:lpstr>CContent_propane</vt:lpstr>
      <vt:lpstr>CContent_RD</vt:lpstr>
      <vt:lpstr>CContent_residualOil</vt:lpstr>
      <vt:lpstr>CContent_ULSD</vt:lpstr>
      <vt:lpstr>CContent_VOC</vt:lpstr>
      <vt:lpstr>density_BD</vt:lpstr>
      <vt:lpstr>density_butane</vt:lpstr>
      <vt:lpstr>density_CBOB</vt:lpstr>
      <vt:lpstr>density_CH4</vt:lpstr>
      <vt:lpstr>density_diesel</vt:lpstr>
      <vt:lpstr>density_E10</vt:lpstr>
      <vt:lpstr>density_EtOH</vt:lpstr>
      <vt:lpstr>density_LNG</vt:lpstr>
      <vt:lpstr>density_LPG</vt:lpstr>
      <vt:lpstr>density_MeOH</vt:lpstr>
      <vt:lpstr>density_NG</vt:lpstr>
      <vt:lpstr>density_propane</vt:lpstr>
      <vt:lpstr>density_RD</vt:lpstr>
      <vt:lpstr>density_residualOil</vt:lpstr>
      <vt:lpstr>density_ULSD</vt:lpstr>
      <vt:lpstr>ft2m</vt:lpstr>
      <vt:lpstr>ft32gal</vt:lpstr>
      <vt:lpstr>ft32L</vt:lpstr>
      <vt:lpstr>ft32m3</vt:lpstr>
      <vt:lpstr>ft32mL</vt:lpstr>
      <vt:lpstr>g2kg</vt:lpstr>
      <vt:lpstr>g2lb</vt:lpstr>
      <vt:lpstr>g2MT</vt:lpstr>
      <vt:lpstr>g2T</vt:lpstr>
      <vt:lpstr>gal2ft3</vt:lpstr>
      <vt:lpstr>gal2L</vt:lpstr>
      <vt:lpstr>gal2m3</vt:lpstr>
      <vt:lpstr>gal2mL</vt:lpstr>
      <vt:lpstr>grid_CIs</vt:lpstr>
      <vt:lpstr>grid_names</vt:lpstr>
      <vt:lpstr>GWP_CH4</vt:lpstr>
      <vt:lpstr>GWP_CO</vt:lpstr>
      <vt:lpstr>GWP_N2O</vt:lpstr>
      <vt:lpstr>GWP_VOC</vt:lpstr>
      <vt:lpstr>HHV_BD</vt:lpstr>
      <vt:lpstr>HHV_butane</vt:lpstr>
      <vt:lpstr>HHV_CBOB</vt:lpstr>
      <vt:lpstr>HHV_CH4</vt:lpstr>
      <vt:lpstr>HHV_diesel</vt:lpstr>
      <vt:lpstr>HHV_E10</vt:lpstr>
      <vt:lpstr>HHV_EtOH</vt:lpstr>
      <vt:lpstr>HHV_LNG</vt:lpstr>
      <vt:lpstr>HHV_LPG</vt:lpstr>
      <vt:lpstr>HHV_MeOH</vt:lpstr>
      <vt:lpstr>HHV_NG</vt:lpstr>
      <vt:lpstr>HHV_propane</vt:lpstr>
      <vt:lpstr>HHV_RD</vt:lpstr>
      <vt:lpstr>HHV_residualOil</vt:lpstr>
      <vt:lpstr>HHV_ULSD</vt:lpstr>
      <vt:lpstr>hph2Btu</vt:lpstr>
      <vt:lpstr>hph2J</vt:lpstr>
      <vt:lpstr>hph2kJ</vt:lpstr>
      <vt:lpstr>hph2MJ</vt:lpstr>
      <vt:lpstr>hph2mmBtu</vt:lpstr>
      <vt:lpstr>hph2Wh</vt:lpstr>
      <vt:lpstr>Include_AvoidedMethane</vt:lpstr>
      <vt:lpstr>J2Btu</vt:lpstr>
      <vt:lpstr>J2hph</vt:lpstr>
      <vt:lpstr>J2kJ</vt:lpstr>
      <vt:lpstr>J2kWh</vt:lpstr>
      <vt:lpstr>J2MJ</vt:lpstr>
      <vt:lpstr>J2mmBtu</vt:lpstr>
      <vt:lpstr>J2Wh</vt:lpstr>
      <vt:lpstr>kg2g</vt:lpstr>
      <vt:lpstr>kg2lb</vt:lpstr>
      <vt:lpstr>kg2MT</vt:lpstr>
      <vt:lpstr>kg2T</vt:lpstr>
      <vt:lpstr>kJ2Btu</vt:lpstr>
      <vt:lpstr>kJ2hph</vt:lpstr>
      <vt:lpstr>kJ2J</vt:lpstr>
      <vt:lpstr>kJ2kWh</vt:lpstr>
      <vt:lpstr>kJ2MJ</vt:lpstr>
      <vt:lpstr>kJ2mmBtu</vt:lpstr>
      <vt:lpstr>kJ2Wh</vt:lpstr>
      <vt:lpstr>km2mi</vt:lpstr>
      <vt:lpstr>kWh2Btu</vt:lpstr>
      <vt:lpstr>kWh2hph</vt:lpstr>
      <vt:lpstr>kWh2J</vt:lpstr>
      <vt:lpstr>kWh2kJ</vt:lpstr>
      <vt:lpstr>kWh2MJ</vt:lpstr>
      <vt:lpstr>kWh2mmBtu</vt:lpstr>
      <vt:lpstr>kWh2Wh</vt:lpstr>
      <vt:lpstr>L2ft3</vt:lpstr>
      <vt:lpstr>L2gal</vt:lpstr>
      <vt:lpstr>L2m3</vt:lpstr>
      <vt:lpstr>L2mL</vt:lpstr>
      <vt:lpstr>lb2g</vt:lpstr>
      <vt:lpstr>lb2kg</vt:lpstr>
      <vt:lpstr>lb2MT</vt:lpstr>
      <vt:lpstr>lb2T</vt:lpstr>
      <vt:lpstr>LHV_BD</vt:lpstr>
      <vt:lpstr>LHV_butane</vt:lpstr>
      <vt:lpstr>LHV_CBOB</vt:lpstr>
      <vt:lpstr>LHV_CH4</vt:lpstr>
      <vt:lpstr>LHV_diesel</vt:lpstr>
      <vt:lpstr>LHV_E10</vt:lpstr>
      <vt:lpstr>LHV_EtOH</vt:lpstr>
      <vt:lpstr>LHV_gasoline</vt:lpstr>
      <vt:lpstr>LHV_LNG</vt:lpstr>
      <vt:lpstr>LHV_LPG</vt:lpstr>
      <vt:lpstr>LHV_MeOH</vt:lpstr>
      <vt:lpstr>LHV_NG</vt:lpstr>
      <vt:lpstr>LHV_propane</vt:lpstr>
      <vt:lpstr>LHV_RD</vt:lpstr>
      <vt:lpstr>LHV_residualOil</vt:lpstr>
      <vt:lpstr>LHV_ULSD</vt:lpstr>
      <vt:lpstr>m2ft</vt:lpstr>
      <vt:lpstr>m32ft3</vt:lpstr>
      <vt:lpstr>m32gal</vt:lpstr>
      <vt:lpstr>m32L</vt:lpstr>
      <vt:lpstr>m32mL</vt:lpstr>
      <vt:lpstr>mi2km</vt:lpstr>
      <vt:lpstr>MJ2Btu</vt:lpstr>
      <vt:lpstr>MJ2hph</vt:lpstr>
      <vt:lpstr>MJ2J</vt:lpstr>
      <vt:lpstr>MJ2kJ</vt:lpstr>
      <vt:lpstr>MJ2kWh</vt:lpstr>
      <vt:lpstr>MJ2mmBtu</vt:lpstr>
      <vt:lpstr>MJ2Wh</vt:lpstr>
      <vt:lpstr>mL2ft3</vt:lpstr>
      <vt:lpstr>mL2gal</vt:lpstr>
      <vt:lpstr>mL2L</vt:lpstr>
      <vt:lpstr>mL2m3</vt:lpstr>
      <vt:lpstr>mmBtu2Btu</vt:lpstr>
      <vt:lpstr>mmBtu2hph</vt:lpstr>
      <vt:lpstr>mmBtu2J</vt:lpstr>
      <vt:lpstr>mmBtu2kJ</vt:lpstr>
      <vt:lpstr>mmBtu2kWh</vt:lpstr>
      <vt:lpstr>mmBtu2MJ</vt:lpstr>
      <vt:lpstr>mmBtu2Wh</vt:lpstr>
      <vt:lpstr>months_baseline</vt:lpstr>
      <vt:lpstr>months_project</vt:lpstr>
      <vt:lpstr>MT2g</vt:lpstr>
      <vt:lpstr>MT2kg</vt:lpstr>
      <vt:lpstr>MT2lb</vt:lpstr>
      <vt:lpstr>MT2T</vt:lpstr>
      <vt:lpstr>state</vt:lpstr>
      <vt:lpstr>T2g</vt:lpstr>
      <vt:lpstr>T2kg</vt:lpstr>
      <vt:lpstr>T2lb</vt:lpstr>
      <vt:lpstr>T2MT</vt:lpstr>
      <vt:lpstr>user_grid_bcs</vt:lpstr>
      <vt:lpstr>Wh2Btu</vt:lpstr>
      <vt:lpstr>Wh2hph</vt:lpstr>
      <vt:lpstr>Wh2J</vt:lpstr>
      <vt:lpstr>Wh2kJ</vt:lpstr>
      <vt:lpstr>Wh2kWh</vt:lpstr>
      <vt:lpstr>Wh2MJ</vt:lpstr>
      <vt:lpstr>Wh2mmBtu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T1 Biomathane Manure</dc:title>
  <dc:subject/>
  <dc:creator>CTFP Staff</dc:creator>
  <cp:keywords/>
  <dc:description/>
  <cp:lastModifiedBy>Putka, Sophie, ENV</cp:lastModifiedBy>
  <cp:revision/>
  <dcterms:created xsi:type="dcterms:W3CDTF">2023-06-11T08:13:24Z</dcterms:created>
  <dcterms:modified xsi:type="dcterms:W3CDTF">2026-07-02T14:57:04Z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0x010100C93ADBBAC300204D917756E66EBC370C</vt:lpwstr>
  </property>
  <property fmtid="{D5CDD505-2E9C-101B-9397-08002B2CF9AE}" pid="3" name="MediaServiceImageTags">
    <vt:lpwstr/>
  </property>
</Properties>
</file>