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jordenbischoff.sharepoint.com/sites/HiserJoy/Shared Documents/hiser/Clients/6930.01/EIB/Testimony/Demonstratives/Smitherman/"/>
    </mc:Choice>
  </mc:AlternateContent>
  <xr:revisionPtr revIDLastSave="0" documentId="8_{1AB6069F-E2E7-4FA6-8A22-FA33F29AABDF}" xr6:coauthVersionLast="47" xr6:coauthVersionMax="47" xr10:uidLastSave="{00000000-0000-0000-0000-000000000000}"/>
  <bookViews>
    <workbookView xWindow="-110" yWindow="-110" windowWidth="25180" windowHeight="16260" xr2:uid="{8CE2D694-AD21-4DC1-9D73-CF28EB157C96}"/>
  </bookViews>
  <sheets>
    <sheet name="Well Site Analysis" sheetId="2" r:id="rId1"/>
    <sheet name="Incremental Cost Analysis " sheetId="3" r:id="rId2"/>
  </sheets>
  <definedNames>
    <definedName name="Compressor_Station_Cost">#REF!</definedName>
    <definedName name="Gas_Plant_LDAR">#REF!</definedName>
    <definedName name="Tank_Cos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38" i="3" l="1"/>
  <c r="Q37" i="3"/>
  <c r="Q36" i="3"/>
  <c r="K38" i="3"/>
  <c r="K37" i="3"/>
  <c r="K36" i="3"/>
  <c r="K14" i="3"/>
  <c r="K13" i="3"/>
  <c r="K12" i="3"/>
  <c r="K7" i="3"/>
  <c r="K6" i="3"/>
  <c r="K5" i="3"/>
  <c r="P38" i="3"/>
  <c r="P37" i="3"/>
  <c r="R37" i="3" s="1"/>
  <c r="P36" i="3"/>
  <c r="J38" i="3"/>
  <c r="J37" i="3"/>
  <c r="J36" i="3"/>
  <c r="P20" i="3"/>
  <c r="R20" i="3" s="1"/>
  <c r="P19" i="3"/>
  <c r="R19" i="3" s="1"/>
  <c r="P26" i="3"/>
  <c r="R26" i="3" s="1"/>
  <c r="P25" i="3"/>
  <c r="R25" i="3" s="1"/>
  <c r="P32" i="3"/>
  <c r="R32" i="3" s="1"/>
  <c r="P31" i="3"/>
  <c r="R31" i="3" s="1"/>
  <c r="K32" i="3"/>
  <c r="K31" i="3"/>
  <c r="K26" i="3"/>
  <c r="K25" i="3"/>
  <c r="B26" i="3"/>
  <c r="J32" i="3" s="1"/>
  <c r="B25" i="3"/>
  <c r="J19" i="3" s="1"/>
  <c r="L19" i="3" s="1"/>
  <c r="B24" i="3"/>
  <c r="J18" i="3" s="1"/>
  <c r="C26" i="3"/>
  <c r="C25" i="3"/>
  <c r="C24" i="3"/>
  <c r="R43" i="3"/>
  <c r="P24" i="3" s="1"/>
  <c r="R24" i="3" s="1"/>
  <c r="P14" i="3"/>
  <c r="R14" i="3" s="1"/>
  <c r="P13" i="3"/>
  <c r="R13" i="3" s="1"/>
  <c r="P12" i="3"/>
  <c r="R12" i="3" s="1"/>
  <c r="P7" i="3"/>
  <c r="R7" i="3" s="1"/>
  <c r="P6" i="3"/>
  <c r="R6" i="3" s="1"/>
  <c r="P5" i="3"/>
  <c r="J14" i="3"/>
  <c r="J13" i="3"/>
  <c r="J12" i="3"/>
  <c r="J7" i="3"/>
  <c r="J6" i="3"/>
  <c r="J5" i="3"/>
  <c r="O33" i="2"/>
  <c r="O31" i="2"/>
  <c r="N33" i="2"/>
  <c r="N31" i="2"/>
  <c r="M33" i="2"/>
  <c r="E19" i="2"/>
  <c r="G19" i="2" s="1"/>
  <c r="M32" i="2" s="1"/>
  <c r="M31" i="2"/>
  <c r="L33" i="2"/>
  <c r="L32" i="2"/>
  <c r="L31" i="2"/>
  <c r="K33" i="2"/>
  <c r="K32" i="2"/>
  <c r="K31" i="2"/>
  <c r="J33" i="2"/>
  <c r="J32" i="2"/>
  <c r="J31" i="2"/>
  <c r="E16" i="2"/>
  <c r="G16" i="2"/>
  <c r="E15" i="2"/>
  <c r="G15" i="2"/>
  <c r="E14" i="2"/>
  <c r="G14" i="2"/>
  <c r="E26" i="2"/>
  <c r="G26" i="2"/>
  <c r="E25" i="2"/>
  <c r="G25" i="2"/>
  <c r="E24" i="2"/>
  <c r="G24" i="2"/>
  <c r="J25" i="2"/>
  <c r="C53" i="2"/>
  <c r="C54" i="2"/>
  <c r="C55" i="2"/>
  <c r="H55" i="2"/>
  <c r="H54" i="2"/>
  <c r="G54" i="2"/>
  <c r="H53" i="2"/>
  <c r="G53" i="2"/>
  <c r="F42" i="2"/>
  <c r="E42" i="2"/>
  <c r="F41" i="2"/>
  <c r="E41" i="2"/>
  <c r="F40" i="2"/>
  <c r="E40" i="2"/>
  <c r="F37" i="2"/>
  <c r="E37" i="2"/>
  <c r="F36" i="2"/>
  <c r="E36" i="2"/>
  <c r="F35" i="2"/>
  <c r="E35" i="2"/>
  <c r="F32" i="2"/>
  <c r="E32" i="2"/>
  <c r="F31" i="2"/>
  <c r="E31" i="2"/>
  <c r="F30" i="2"/>
  <c r="E30" i="2"/>
  <c r="F26" i="2"/>
  <c r="F25" i="2"/>
  <c r="F24" i="2"/>
  <c r="K19" i="2"/>
  <c r="M19" i="2"/>
  <c r="L22" i="2" s="1"/>
  <c r="K20" i="2"/>
  <c r="M20" i="2"/>
  <c r="K21" i="2"/>
  <c r="M21" i="2"/>
  <c r="E20" i="2"/>
  <c r="G20" i="2" s="1"/>
  <c r="N32" i="2" s="1"/>
  <c r="E21" i="2"/>
  <c r="G21" i="2" s="1"/>
  <c r="O32" i="2" s="1"/>
  <c r="J22" i="2"/>
  <c r="J19" i="2"/>
  <c r="J20" i="2"/>
  <c r="J21" i="2"/>
  <c r="I22" i="2"/>
  <c r="F21" i="2"/>
  <c r="F20" i="2"/>
  <c r="F19" i="2"/>
  <c r="F16" i="2"/>
  <c r="F15" i="2"/>
  <c r="F14" i="2"/>
  <c r="R36" i="3" l="1"/>
  <c r="L37" i="3"/>
  <c r="R38" i="3"/>
  <c r="L38" i="3"/>
  <c r="D26" i="3"/>
  <c r="L36" i="3"/>
  <c r="R5" i="3"/>
  <c r="L7" i="3"/>
  <c r="F26" i="3"/>
  <c r="J20" i="3"/>
  <c r="L20" i="3" s="1"/>
  <c r="D25" i="3"/>
  <c r="J26" i="3"/>
  <c r="L26" i="3" s="1"/>
  <c r="L32" i="3"/>
  <c r="J24" i="3"/>
  <c r="D24" i="3"/>
  <c r="J30" i="3"/>
  <c r="E24" i="3"/>
  <c r="P18" i="3"/>
  <c r="R18" i="3" s="1"/>
  <c r="P30" i="3"/>
  <c r="R30" i="3" s="1"/>
  <c r="F25" i="3"/>
  <c r="J25" i="3"/>
  <c r="L25" i="3" s="1"/>
  <c r="J31" i="3"/>
  <c r="L31" i="3" s="1"/>
  <c r="L12" i="3"/>
  <c r="L13" i="3"/>
  <c r="L14" i="3"/>
  <c r="L5" i="3"/>
  <c r="L6" i="3"/>
  <c r="L20" i="2"/>
  <c r="L21" i="2"/>
  <c r="L19" i="2"/>
  <c r="K22" i="2" s="1"/>
  <c r="K24" i="3" l="1"/>
  <c r="L24" i="3" s="1"/>
  <c r="K18" i="3"/>
  <c r="L18" i="3" s="1"/>
  <c r="K30" i="3"/>
  <c r="L30" i="3" s="1"/>
  <c r="F24"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tc={68F5E8BB-67D4-4B59-9F60-2B93115A60D9}</author>
    <author>tc={D26ADA89-7AA7-48BC-9B67-C7F663A95272}</author>
    <author>tc={E3EACB4A-0601-448B-991D-3A7081A6BF89}</author>
    <author>tc={5CB30189-8A34-4529-8FAE-BBEB9A76D73B}</author>
  </authors>
  <commentList>
    <comment ref="B18" authorId="0" shapeId="0" xr:uid="{68F5E8BB-67D4-4B59-9F60-2B93115A60D9}">
      <text>
        <t>[Threaded comment]
Your version of Excel allows you to read this threaded comment; however, any edits to it will get removed if the file is opened in a newer version of Excel. Learn more: https://go.microsoft.com/fwlink/?linkid=870924
Comment:
    Change these to the ERG estimated reductions and the cost per ton will show in column G</t>
      </text>
    </comment>
    <comment ref="C19" authorId="1" shapeId="0" xr:uid="{D26ADA89-7AA7-48BC-9B67-C7F663A95272}">
      <text>
        <t>[Threaded comment]
Your version of Excel allows you to read this threaded comment; however, any edits to it will get removed if the file is opened in a newer version of Excel. Learn more: https://go.microsoft.com/fwlink/?linkid=870924
Comment:
    From API CTG comments</t>
      </text>
    </comment>
    <comment ref="C20" authorId="2" shapeId="0" xr:uid="{E3EACB4A-0601-448B-991D-3A7081A6BF89}">
      <text>
        <t>[Threaded comment]
Your version of Excel allows you to read this threaded comment; however, any edits to it will get removed if the file is opened in a newer version of Excel. Learn more: https://go.microsoft.com/fwlink/?linkid=870924
Comment:
    From API CTG comments</t>
      </text>
    </comment>
    <comment ref="C21" authorId="3" shapeId="0" xr:uid="{5CB30189-8A34-4529-8FAE-BBEB9A76D73B}">
      <text>
        <t>[Threaded comment]
Your version of Excel allows you to read this threaded comment; however, any edits to it will get removed if the file is opened in a newer version of Excel. Learn more: https://go.microsoft.com/fwlink/?linkid=870924
Comment:
    From API CTG comments</t>
      </text>
    </comment>
  </commentList>
</comments>
</file>

<file path=xl/sharedStrings.xml><?xml version="1.0" encoding="utf-8"?>
<sst xmlns="http://schemas.openxmlformats.org/spreadsheetml/2006/main" count="316" uniqueCount="103">
  <si>
    <t>Draft LDAR Requirements in NM draft rule</t>
  </si>
  <si>
    <t>Frequency according to 20.2.50.116.C(1) NMAC: facilities with an annual average daily production of greater than 10 barrels of oil per day or an average daily production of greater than 60,000 standard cubic feet per day of 3 natural gas must conduct weekly audio, visual, and olfactory (AVO) inspections.</t>
  </si>
  <si>
    <t>Frequency according to 20.2.50.116.C(2) NMAC: facilities with an annual average daily production of equal to or less than 10 barrels of oil per day or an average daily production of equal to or less than 60,000 standard cubic feet per day of 3 natural gas must conduct weekly AVO inspections.</t>
  </si>
  <si>
    <t>Frequency according to 20.2.50.116.C(3) NMAC:</t>
  </si>
  <si>
    <t>Facility Type</t>
  </si>
  <si>
    <t>PTE Range (tpy VOC)</t>
  </si>
  <si>
    <t>Frequency</t>
  </si>
  <si>
    <t>Well Production</t>
  </si>
  <si>
    <t>&lt;2</t>
  </si>
  <si>
    <t>Annually</t>
  </si>
  <si>
    <t>≥2 and &lt;5</t>
  </si>
  <si>
    <t>Semiannually</t>
  </si>
  <si>
    <t>≥5</t>
  </si>
  <si>
    <t>Quarterly</t>
  </si>
  <si>
    <t>Reference: Control Techniques Guidelines for the Oil and Natural Gas Industry. EPA-453/B-16-001. October 2016 [hereafter, "2016 CTG"]
U.S. Environmental Protection Agency, Office of Air and Radiation, Office of Air Quality Planning and Standards, Sector Policies and Programs Division
Research Triangle Park, North Carolina</t>
  </si>
  <si>
    <t>Summary of the VOC Cost of Control for the Annual OGI Monitoring Option based on Model Plants</t>
  </si>
  <si>
    <t>Reference</t>
  </si>
  <si>
    <t>Assumes 2 well heads at each well site for both oil and gas.</t>
  </si>
  <si>
    <t>Annual VOC Emission Reduction (tpy)</t>
  </si>
  <si>
    <t>Annual Cost (2012$)</t>
  </si>
  <si>
    <t>$/ton VOC reduced (2012$)</t>
  </si>
  <si>
    <t>Annual Cost (2019$)</t>
  </si>
  <si>
    <t>$/ton VOC reduced (2019$)</t>
  </si>
  <si>
    <t>NG Well Site</t>
  </si>
  <si>
    <t>Oil Well Site (GOR &lt; 300)</t>
  </si>
  <si>
    <t>GOR &lt; 300 = "Heavy Oil"</t>
  </si>
  <si>
    <t>Oil Well Site (GOR &gt; 300)</t>
  </si>
  <si>
    <t>Summary of the VOC Cost of Control for the Semiannual OGI Monitoring Option based on Model Plants</t>
  </si>
  <si>
    <t xml:space="preserve">Assumed 2 well heads at each well site for both oil and gas, and have assumed that all well sites will have semiannual monitoring on average. 
</t>
  </si>
  <si>
    <t>Number of wells in NM</t>
  </si>
  <si>
    <t>Number of wells that are subject to OOOOa</t>
  </si>
  <si>
    <t>Number of well sites in NM  (assume 2 wells/site)</t>
  </si>
  <si>
    <t>Number of well sites in NM not subject to OOOOa</t>
  </si>
  <si>
    <t>Total Annual LDAR Cost</t>
  </si>
  <si>
    <t>Tpy VOC reductions</t>
  </si>
  <si>
    <t>NG Well Site (GOR &gt; 100,000)</t>
  </si>
  <si>
    <t>Oil Well Site (GOR &gt; 300, &lt; 100,000)</t>
  </si>
  <si>
    <t>Summary of the VOC Cost of Control for the Quarterly OGI Monitoring Option based on Model Plants</t>
  </si>
  <si>
    <t>Totals</t>
  </si>
  <si>
    <t>Summary of the VOC Cost of Control for the Annual Method 21 Monitoring Option based on Model Plants at 500 ppm Repair Threshold</t>
  </si>
  <si>
    <t>Table 9-14 of the 2016 CTG.</t>
  </si>
  <si>
    <t>Summary of the VOC Cost of Control for the Semiannual Method 21 Monitoring Option based on Model Plants at 500 ppm Repair Threshold</t>
  </si>
  <si>
    <t>Table 9-15 of the 2016 CTG.</t>
  </si>
  <si>
    <t>Summary of the VOC Cost of Control for the Quarterly Method 21 Monitoring Option based on Model Plants at 500 ppm Repair Threshold</t>
  </si>
  <si>
    <t>Table 9-16 of the 2016 CTG.</t>
  </si>
  <si>
    <t>CEPCI</t>
  </si>
  <si>
    <t>The average VOC emissions per well site was estimated to determine the LDAR inspection frequency that should be assumed for estimating LDAR costs for well sites.</t>
  </si>
  <si>
    <t>Well counts are from the NM EMNRD Oil Conservation Division well data.</t>
  </si>
  <si>
    <t>VOC Emissions are from the Revised Final Report: Circa-2014 Baseline Oil and Gas Emission Inventory for the WESTAR-WRAP Region. 
September 2019
Prepared for: Western Regional Air Partnership Oil and Gas Working Group
Prepared by: John Grant, Rajashi Parikh, Amnon Bar-Ilan, 
Ramboll US Corporation. 7250 Redwood Blvd., Suite 105 Novato, California 94945</t>
  </si>
  <si>
    <t>VOC Emissions (tons/yr)</t>
  </si>
  <si>
    <t>Number of well sites</t>
  </si>
  <si>
    <t>Basin and State</t>
  </si>
  <si>
    <t>Nonpoint</t>
  </si>
  <si>
    <t>Point</t>
  </si>
  <si>
    <t>Total</t>
  </si>
  <si>
    <r>
      <rPr>
        <b/>
        <sz val="11"/>
        <color theme="1"/>
        <rFont val="Calibri"/>
        <family val="2"/>
        <scheme val="minor"/>
      </rPr>
      <t>Nonpoint</t>
    </r>
    <r>
      <rPr>
        <sz val="11"/>
        <color theme="1"/>
        <rFont val="Calibri Light"/>
        <family val="2"/>
        <scheme val="major"/>
      </rPr>
      <t xml:space="preserve"> Source VOC Emissions/</t>
    </r>
    <r>
      <rPr>
        <b/>
        <sz val="11"/>
        <color theme="1"/>
        <rFont val="Calibri"/>
        <family val="2"/>
        <scheme val="minor"/>
      </rPr>
      <t>Well Site</t>
    </r>
  </si>
  <si>
    <t>Notes</t>
  </si>
  <si>
    <t>San Juan NM</t>
  </si>
  <si>
    <t>Assumed all NG wells are in the San Juan Basin</t>
  </si>
  <si>
    <t>Permian NM</t>
  </si>
  <si>
    <t>Assumed all oil wells are in the Permian Basin</t>
  </si>
  <si>
    <t>Overall average = (total nonpoint VOC)/(total # well sites)</t>
  </si>
  <si>
    <t>Assumed two wells per well site.</t>
  </si>
  <si>
    <t>Assumed that well sites are included in the nonpoint inventory and did not include VOC emissions from sources that usually have an air permit and are included in the point source inventory.</t>
  </si>
  <si>
    <t>The results indicate that LDAR inspections should be quarterly for the average well site, based on average nonpoint VOC emissions per site.</t>
  </si>
  <si>
    <t xml:space="preserve">However, well sites are not the only VOC sources in the nonpoint inventory. Other nonpoint sources include, for example, some tanks and gathering and boosting sites. </t>
  </si>
  <si>
    <t>To account for other VOC sources, the cost analysis assumes that the average well site will require semiannual LDAR inspections instead of quarterly LDAR inspections.</t>
  </si>
  <si>
    <t>Semiannual</t>
  </si>
  <si>
    <t>Annual</t>
  </si>
  <si>
    <t xml:space="preserve">NMOGA GHGRP </t>
  </si>
  <si>
    <t>NMOGA (GHGRP Basis)</t>
  </si>
  <si>
    <t>Gas Well Site</t>
  </si>
  <si>
    <t>Oil Well Site &lt;300 GOR</t>
  </si>
  <si>
    <t>Costs of VOC Reductions - $ per ton of VOC reduced</t>
  </si>
  <si>
    <t>ERG (CTG Basis)</t>
  </si>
  <si>
    <t>GHGRP Based $/ton VOC reduced (2019$)</t>
  </si>
  <si>
    <t>NMOGA GHGRP Model Plant
Assumes 2 well heads at each well site for both oil and gas.</t>
  </si>
  <si>
    <t>`$/ton VOC reduced (2019$)</t>
  </si>
  <si>
    <t>ERG/NMED Model Plant and Costs</t>
  </si>
  <si>
    <t>Annual Frequency</t>
  </si>
  <si>
    <t>Table 9-11 of the 2016 CTG.</t>
  </si>
  <si>
    <t>Table 9-12 of the 2016 CTG.</t>
  </si>
  <si>
    <t>Table 9-13 of the 2016 CTG.</t>
  </si>
  <si>
    <t>Annual to Semiannual</t>
  </si>
  <si>
    <t>Incremental VOC Reductions (tpy)</t>
  </si>
  <si>
    <t>Incremental Annual Cost (2019)</t>
  </si>
  <si>
    <t>Incremental Cost per Ton</t>
  </si>
  <si>
    <t>Semiannual to Quarterly</t>
  </si>
  <si>
    <t>Incremental cost per ton of VOC reduction - ERG Costs &amp; Reductions</t>
  </si>
  <si>
    <t>Incremental cost per ton of VOC reduction - ERG Costs &amp; NMOGA Reductions</t>
  </si>
  <si>
    <t>Semi-annual</t>
  </si>
  <si>
    <t>Gas</t>
  </si>
  <si>
    <t>&lt;300</t>
  </si>
  <si>
    <t>Monthly</t>
  </si>
  <si>
    <t>Quarterly to Monthly</t>
  </si>
  <si>
    <t>Annual to Monthly</t>
  </si>
  <si>
    <t>Semiannual to Monthly</t>
  </si>
  <si>
    <t>Summary of the VOC Cost of Control for the Monthly OGI Monitoring Option based on Model Plants</t>
  </si>
  <si>
    <t>Oil Well Site &gt;=300 GOR</t>
  </si>
  <si>
    <t>Oil Well Site (GOR &gt;= 300)</t>
  </si>
  <si>
    <t>&gt;=300</t>
  </si>
  <si>
    <t>Annual to Quarterly</t>
  </si>
  <si>
    <t>Estimated Reductions - NMOGA Model Plant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</si>
</sst>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5" formatCode="&quot;$&quot;#,##0_);\(&quot;$&quot;#,##0\)"/>
    <numFmt numFmtId="44" formatCode="_(&quot;$&quot;* #,##0.00_);_(&quot;$&quot;* \(#,##0.00\);_(&quot;$&quot;* &quot;-&quot;??_);_(@_)"/>
    <numFmt numFmtId="43" formatCode="_(* #,##0.00_);_(* \(#,##0.00\);_(* &quot;-&quot;??_);_(@_)"/>
    <numFmt numFmtId="164" formatCode="0.000"/>
    <numFmt numFmtId="165" formatCode="_(&quot;$&quot;* #,##0_);_(&quot;$&quot;* \(#,##0\);_(&quot;$&quot;* &quot;-&quot;??_);_(@_)"/>
    <numFmt numFmtId="166" formatCode="_(* #,##0_);_(* \(#,##0\);_(* &quot;-&quot;??_);_(@_)"/>
    <numFmt numFmtId="167" formatCode="0.0"/>
    <numFmt numFmtId="168" formatCode="&quot;$&quot;#,##0"/>
    <numFmt numFmtId="169" formatCode="&quot;$&quot;#,##0.00"/>
  </numFmts>
  <fonts count="9" x14ac:knownFonts="1">
    <font>
      <sz val="11"/>
      <color theme="1"/>
      <name val="Calibri Light"/>
      <family val="2"/>
      <scheme val="major"/>
    </font>
    <font>
      <sz val="11"/>
      <color theme="1"/>
      <name val="Calibri Light"/>
      <family val="2"/>
      <scheme val="major"/>
    </font>
    <font>
      <sz val="11"/>
      <color rgb="FF000000"/>
      <name val="Calibri"/>
      <family val="2"/>
    </font>
    <font>
      <sz val="11"/>
      <color theme="1"/>
      <name val="Calibri"/>
      <family val="2"/>
    </font>
    <font>
      <b/>
      <sz val="11"/>
      <color theme="1"/>
      <name val="Calibri"/>
      <family val="2"/>
      <scheme val="minor"/>
    </font>
    <font>
      <sz val="10"/>
      <color rgb="FF000000"/>
      <name val="Calibri"/>
      <family val="2"/>
    </font>
    <font>
      <b/>
      <sz val="10"/>
      <color theme="1"/>
      <name val="Calibri"/>
      <family val="2"/>
      <scheme val="minor"/>
    </font>
    <font>
      <sz val="10"/>
      <color theme="1"/>
      <name val="Calibri"/>
      <family val="2"/>
      <scheme val="minor"/>
    </font>
    <font>
      <sz val="11"/>
      <color theme="1"/>
      <name val="Calibri"/>
      <family val="2"/>
      <scheme val="minor"/>
    </font>
  </fonts>
  <fills count="4">
    <fill>
      <patternFill patternType="none"/>
    </fill>
    <fill>
      <patternFill patternType="gray125"/>
    </fill>
    <fill>
      <patternFill patternType="solid">
        <fgColor theme="9" tint="0.59999389629810485"/>
        <bgColor indexed="64"/>
      </patternFill>
    </fill>
    <fill>
      <patternFill patternType="solid">
        <fgColor rgb="FFFFFF00"/>
        <bgColor indexed="64"/>
      </patternFill>
    </fill>
  </fills>
  <borders count="20">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right/>
      <top/>
      <bottom style="thin">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0"/>
    <xf numFmtId="0" fontId="5" fillId="0" borderId="0"/>
  </cellStyleXfs>
  <cellXfs count="96">
    <xf numFmtId="0" fontId="0" fillId="0" borderId="0" xfId="0"/>
    <xf numFmtId="0" fontId="0" fillId="0" borderId="0" xfId="0" applyAlignment="1">
      <alignment vertical="center" wrapText="1"/>
    </xf>
    <xf numFmtId="0" fontId="3" fillId="0" borderId="0" xfId="0" applyFont="1"/>
    <xf numFmtId="0" fontId="4" fillId="0" borderId="0" xfId="0" applyFont="1" applyAlignment="1">
      <alignment wrapText="1"/>
    </xf>
    <xf numFmtId="0" fontId="0" fillId="0" borderId="0" xfId="0" applyAlignment="1">
      <alignment wrapText="1"/>
    </xf>
    <xf numFmtId="165" fontId="0" fillId="0" borderId="0" xfId="2" applyNumberFormat="1" applyFont="1" applyFill="1"/>
    <xf numFmtId="165" fontId="0" fillId="0" borderId="0" xfId="0" applyNumberFormat="1"/>
    <xf numFmtId="2" fontId="0" fillId="0" borderId="0" xfId="0" applyNumberFormat="1"/>
    <xf numFmtId="166" fontId="0" fillId="0" borderId="0" xfId="1" applyNumberFormat="1" applyFont="1" applyFill="1"/>
    <xf numFmtId="166" fontId="4" fillId="0" borderId="0" xfId="1" applyNumberFormat="1" applyFont="1" applyFill="1" applyAlignment="1">
      <alignment vertical="center"/>
    </xf>
    <xf numFmtId="166" fontId="4" fillId="0" borderId="0" xfId="1" applyNumberFormat="1" applyFont="1" applyFill="1" applyBorder="1" applyAlignment="1">
      <alignment vertical="center" wrapText="1"/>
    </xf>
    <xf numFmtId="165" fontId="4" fillId="0" borderId="0" xfId="0" applyNumberFormat="1" applyFont="1" applyAlignment="1">
      <alignment vertical="center" wrapText="1"/>
    </xf>
    <xf numFmtId="0" fontId="0" fillId="0" borderId="0" xfId="0" applyAlignment="1">
      <alignment vertical="center"/>
    </xf>
    <xf numFmtId="0" fontId="4" fillId="0" borderId="2" xfId="0" applyFont="1" applyBorder="1" applyAlignment="1">
      <alignment horizontal="center"/>
    </xf>
    <xf numFmtId="0" fontId="0" fillId="0" borderId="2" xfId="0" applyBorder="1"/>
    <xf numFmtId="0" fontId="4" fillId="0" borderId="0" xfId="0" applyFont="1"/>
    <xf numFmtId="166" fontId="4" fillId="0" borderId="0" xfId="1" applyNumberFormat="1" applyFont="1" applyFill="1"/>
    <xf numFmtId="167" fontId="0" fillId="0" borderId="0" xfId="0" applyNumberFormat="1"/>
    <xf numFmtId="166" fontId="0" fillId="0" borderId="0" xfId="0" applyNumberFormat="1" applyAlignment="1">
      <alignment vertical="center" wrapText="1"/>
    </xf>
    <xf numFmtId="164" fontId="0" fillId="0" borderId="0" xfId="0" applyNumberFormat="1" applyAlignment="1">
      <alignment vertical="center" wrapText="1"/>
    </xf>
    <xf numFmtId="2" fontId="0" fillId="0" borderId="0" xfId="0" applyNumberFormat="1" applyAlignment="1">
      <alignment vertical="center" wrapText="1"/>
    </xf>
    <xf numFmtId="168" fontId="0" fillId="0" borderId="0" xfId="1" applyNumberFormat="1" applyFont="1" applyFill="1"/>
    <xf numFmtId="5" fontId="0" fillId="2" borderId="0" xfId="0" applyNumberFormat="1" applyFill="1"/>
    <xf numFmtId="168" fontId="0" fillId="2" borderId="0" xfId="0" applyNumberFormat="1" applyFill="1"/>
    <xf numFmtId="5" fontId="0" fillId="2" borderId="0" xfId="0" applyNumberFormat="1" applyFill="1" applyAlignment="1">
      <alignment vertical="center"/>
    </xf>
    <xf numFmtId="0" fontId="7" fillId="0" borderId="2" xfId="0" applyFont="1" applyBorder="1"/>
    <xf numFmtId="0" fontId="6" fillId="0" borderId="2" xfId="0" applyFont="1" applyBorder="1" applyAlignment="1">
      <alignment horizontal="center"/>
    </xf>
    <xf numFmtId="0" fontId="6" fillId="0" borderId="2" xfId="0" applyFont="1" applyBorder="1" applyAlignment="1">
      <alignment horizontal="center" wrapText="1"/>
    </xf>
    <xf numFmtId="0" fontId="6" fillId="0" borderId="2" xfId="0" applyFont="1" applyBorder="1"/>
    <xf numFmtId="168" fontId="7" fillId="0" borderId="2" xfId="0" applyNumberFormat="1" applyFont="1" applyBorder="1" applyAlignment="1">
      <alignment horizontal="center"/>
    </xf>
    <xf numFmtId="164" fontId="0" fillId="0" borderId="0" xfId="0" applyNumberFormat="1"/>
    <xf numFmtId="0" fontId="8" fillId="0" borderId="0" xfId="0" applyFont="1"/>
    <xf numFmtId="0" fontId="8" fillId="0" borderId="0" xfId="0" applyFont="1" applyAlignment="1">
      <alignment wrapText="1"/>
    </xf>
    <xf numFmtId="2" fontId="8" fillId="0" borderId="0" xfId="0" applyNumberFormat="1" applyFont="1" applyAlignment="1">
      <alignment wrapText="1"/>
    </xf>
    <xf numFmtId="2" fontId="8" fillId="0" borderId="0" xfId="0" applyNumberFormat="1" applyFont="1"/>
    <xf numFmtId="0" fontId="8" fillId="0" borderId="0" xfId="0" applyFont="1" applyAlignment="1"/>
    <xf numFmtId="0" fontId="8" fillId="0" borderId="2" xfId="0" applyFont="1" applyBorder="1"/>
    <xf numFmtId="0" fontId="4" fillId="0" borderId="2" xfId="0" applyFont="1" applyBorder="1" applyAlignment="1">
      <alignment horizontal="center"/>
    </xf>
    <xf numFmtId="168" fontId="8" fillId="0" borderId="2" xfId="0" applyNumberFormat="1" applyFont="1" applyBorder="1"/>
    <xf numFmtId="0" fontId="4" fillId="0" borderId="2" xfId="0" applyFont="1" applyBorder="1"/>
    <xf numFmtId="0" fontId="4" fillId="0" borderId="2" xfId="0" applyFont="1" applyBorder="1" applyAlignment="1">
      <alignment wrapText="1"/>
    </xf>
    <xf numFmtId="0" fontId="4" fillId="0" borderId="0" xfId="0" applyFont="1" applyAlignment="1"/>
    <xf numFmtId="164" fontId="8" fillId="0" borderId="2" xfId="0" applyNumberFormat="1" applyFont="1" applyBorder="1"/>
    <xf numFmtId="0" fontId="8" fillId="0" borderId="0" xfId="0" applyFont="1" applyBorder="1"/>
    <xf numFmtId="168" fontId="8" fillId="0" borderId="0" xfId="0" applyNumberFormat="1" applyFont="1" applyAlignment="1">
      <alignment wrapText="1"/>
    </xf>
    <xf numFmtId="164" fontId="8" fillId="0" borderId="0" xfId="0" applyNumberFormat="1" applyFont="1" applyAlignment="1">
      <alignment wrapText="1"/>
    </xf>
    <xf numFmtId="168" fontId="8" fillId="0" borderId="0" xfId="0" applyNumberFormat="1" applyFont="1"/>
    <xf numFmtId="169" fontId="8" fillId="0" borderId="2" xfId="0" applyNumberFormat="1" applyFont="1" applyBorder="1"/>
    <xf numFmtId="168" fontId="8" fillId="0" borderId="0" xfId="0" applyNumberFormat="1" applyFont="1" applyBorder="1"/>
    <xf numFmtId="164" fontId="8" fillId="0" borderId="0" xfId="0" applyNumberFormat="1" applyFont="1" applyBorder="1"/>
    <xf numFmtId="164" fontId="8" fillId="0" borderId="2" xfId="0" applyNumberFormat="1" applyFont="1" applyBorder="1" applyAlignment="1">
      <alignment horizontal="center"/>
    </xf>
    <xf numFmtId="0" fontId="8" fillId="0" borderId="10" xfId="0" applyFont="1" applyBorder="1"/>
    <xf numFmtId="168" fontId="8" fillId="0" borderId="11" xfId="0" applyNumberFormat="1" applyFont="1" applyBorder="1" applyAlignment="1">
      <alignment horizontal="center"/>
    </xf>
    <xf numFmtId="0" fontId="8" fillId="0" borderId="12" xfId="0" applyFont="1" applyBorder="1"/>
    <xf numFmtId="164" fontId="8" fillId="0" borderId="13" xfId="0" applyNumberFormat="1" applyFont="1" applyBorder="1" applyAlignment="1">
      <alignment horizontal="center"/>
    </xf>
    <xf numFmtId="168" fontId="8" fillId="0" borderId="14" xfId="0" applyNumberFormat="1" applyFont="1" applyBorder="1" applyAlignment="1">
      <alignment horizontal="center"/>
    </xf>
    <xf numFmtId="0" fontId="4" fillId="0" borderId="10" xfId="0" applyFont="1" applyBorder="1" applyAlignment="1">
      <alignment vertical="center"/>
    </xf>
    <xf numFmtId="0" fontId="4" fillId="0" borderId="2" xfId="0" applyFont="1" applyBorder="1" applyAlignment="1">
      <alignment horizontal="center" vertical="center" wrapText="1"/>
    </xf>
    <xf numFmtId="0" fontId="4" fillId="0" borderId="11" xfId="0" applyFont="1" applyBorder="1" applyAlignment="1">
      <alignment horizontal="center" vertical="center" wrapText="1"/>
    </xf>
    <xf numFmtId="1" fontId="8" fillId="0" borderId="2" xfId="0" applyNumberFormat="1" applyFont="1" applyBorder="1"/>
    <xf numFmtId="0" fontId="8" fillId="0" borderId="7" xfId="0" applyFont="1" applyBorder="1"/>
    <xf numFmtId="0" fontId="8" fillId="0" borderId="8" xfId="0" applyFont="1" applyBorder="1"/>
    <xf numFmtId="0" fontId="8" fillId="0" borderId="9" xfId="0" applyFont="1" applyBorder="1"/>
    <xf numFmtId="0" fontId="8" fillId="0" borderId="11" xfId="0" applyFont="1" applyBorder="1"/>
    <xf numFmtId="164" fontId="8" fillId="0" borderId="11" xfId="0" applyNumberFormat="1" applyFont="1" applyBorder="1"/>
    <xf numFmtId="164" fontId="8" fillId="0" borderId="13" xfId="0" applyNumberFormat="1" applyFont="1" applyBorder="1"/>
    <xf numFmtId="164" fontId="8" fillId="0" borderId="14" xfId="0" applyNumberFormat="1" applyFont="1" applyBorder="1"/>
    <xf numFmtId="168" fontId="8" fillId="0" borderId="2" xfId="0" applyNumberFormat="1" applyFont="1" applyBorder="1" applyAlignment="1">
      <alignment horizontal="center"/>
    </xf>
    <xf numFmtId="168" fontId="8" fillId="0" borderId="13" xfId="0" applyNumberFormat="1" applyFont="1" applyBorder="1" applyAlignment="1">
      <alignment horizontal="center"/>
    </xf>
    <xf numFmtId="165" fontId="8" fillId="0" borderId="2" xfId="2" applyNumberFormat="1" applyFont="1" applyBorder="1"/>
    <xf numFmtId="0" fontId="4" fillId="3" borderId="2" xfId="0" applyFont="1" applyFill="1" applyBorder="1"/>
    <xf numFmtId="0" fontId="8" fillId="0" borderId="18" xfId="0" applyFont="1" applyBorder="1"/>
    <xf numFmtId="0" fontId="4" fillId="0" borderId="11" xfId="0" applyFont="1" applyBorder="1" applyAlignment="1">
      <alignment horizontal="left" wrapText="1"/>
    </xf>
    <xf numFmtId="0" fontId="4" fillId="0" borderId="2" xfId="0" applyFont="1" applyBorder="1" applyAlignment="1">
      <alignment horizontal="left" wrapText="1"/>
    </xf>
    <xf numFmtId="0" fontId="4" fillId="3" borderId="10" xfId="0" applyFont="1" applyFill="1" applyBorder="1" applyAlignment="1"/>
    <xf numFmtId="0" fontId="8" fillId="0" borderId="5" xfId="0" applyFont="1" applyBorder="1"/>
    <xf numFmtId="164" fontId="8" fillId="0" borderId="5" xfId="0" applyNumberFormat="1" applyFont="1" applyBorder="1"/>
    <xf numFmtId="168" fontId="8" fillId="0" borderId="5" xfId="0" applyNumberFormat="1" applyFont="1" applyBorder="1"/>
    <xf numFmtId="0" fontId="8" fillId="0" borderId="19" xfId="0" applyFont="1" applyBorder="1"/>
    <xf numFmtId="0" fontId="0" fillId="0" borderId="1" xfId="0" applyBorder="1" applyAlignment="1">
      <alignment horizontal="left" wrapText="1"/>
    </xf>
    <xf numFmtId="0" fontId="0" fillId="0" borderId="0" xfId="0" applyAlignment="1">
      <alignment horizontal="left" wrapText="1"/>
    </xf>
    <xf numFmtId="0" fontId="0" fillId="0" borderId="0" xfId="0" applyAlignment="1">
      <alignment horizontal="center"/>
    </xf>
    <xf numFmtId="0" fontId="6" fillId="0" borderId="2" xfId="0" applyFont="1" applyBorder="1" applyAlignment="1">
      <alignment horizontal="center"/>
    </xf>
    <xf numFmtId="0" fontId="0" fillId="0" borderId="3" xfId="0" applyBorder="1" applyAlignment="1">
      <alignment horizontal="center" wrapText="1"/>
    </xf>
    <xf numFmtId="0" fontId="0" fillId="0" borderId="0" xfId="0" applyAlignment="1">
      <alignment horizontal="center" vertical="center" wrapText="1"/>
    </xf>
    <xf numFmtId="0" fontId="4" fillId="0" borderId="0" xfId="0" applyFont="1" applyAlignment="1">
      <alignment horizontal="center"/>
    </xf>
    <xf numFmtId="0" fontId="4" fillId="0" borderId="2" xfId="0" applyFont="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center"/>
    </xf>
    <xf numFmtId="0" fontId="4" fillId="0" borderId="6" xfId="0" applyFont="1" applyBorder="1" applyAlignment="1">
      <alignment horizontal="center"/>
    </xf>
    <xf numFmtId="0" fontId="4" fillId="0" borderId="7" xfId="0" applyFont="1" applyBorder="1" applyAlignment="1">
      <alignment horizontal="center"/>
    </xf>
    <xf numFmtId="0" fontId="4" fillId="0" borderId="8" xfId="0" applyFont="1" applyBorder="1" applyAlignment="1">
      <alignment horizontal="center"/>
    </xf>
    <xf numFmtId="0" fontId="4" fillId="0" borderId="9" xfId="0" applyFont="1" applyBorder="1" applyAlignment="1">
      <alignment horizontal="center"/>
    </xf>
    <xf numFmtId="0" fontId="4" fillId="0" borderId="15" xfId="0" applyFont="1" applyBorder="1" applyAlignment="1">
      <alignment horizontal="center"/>
    </xf>
    <xf numFmtId="0" fontId="4" fillId="0" borderId="16" xfId="0" applyFont="1" applyBorder="1" applyAlignment="1">
      <alignment horizontal="center"/>
    </xf>
    <xf numFmtId="0" fontId="4" fillId="0" borderId="17" xfId="0" applyFont="1" applyBorder="1" applyAlignment="1">
      <alignment horizontal="center"/>
    </xf>
  </cellXfs>
  <cellStyles count="5">
    <cellStyle name="Comma" xfId="1" builtinId="3"/>
    <cellStyle name="Currency" xfId="2" builtinId="4"/>
    <cellStyle name="Normal" xfId="0" builtinId="0"/>
    <cellStyle name="Normal 2" xfId="3" xr:uid="{DD81993C-34B0-45D3-B873-27C8A7C71DB4}"/>
    <cellStyle name="Normal 3" xfId="4" xr:uid="{5FE51CBF-8C78-48A7-90B8-D1811AF2D56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62</xdr:row>
      <xdr:rowOff>83345</xdr:rowOff>
    </xdr:from>
    <xdr:to>
      <xdr:col>3</xdr:col>
      <xdr:colOff>738101</xdr:colOff>
      <xdr:row>87</xdr:row>
      <xdr:rowOff>131641</xdr:rowOff>
    </xdr:to>
    <xdr:pic>
      <xdr:nvPicPr>
        <xdr:cNvPr id="3" name="Picture 2">
          <a:extLst>
            <a:ext uri="{FF2B5EF4-FFF2-40B4-BE49-F238E27FC236}">
              <a16:creationId xmlns:a16="http://schemas.microsoft.com/office/drawing/2014/main" id="{568F276D-394E-4D0B-A1AB-7BFB9FD62957}"/>
            </a:ext>
          </a:extLst>
        </xdr:cNvPr>
        <xdr:cNvPicPr>
          <a:picLocks noChangeAspect="1"/>
        </xdr:cNvPicPr>
      </xdr:nvPicPr>
      <xdr:blipFill>
        <a:blip xmlns:r="http://schemas.openxmlformats.org/officeDocument/2006/relationships" r:embed="rId1"/>
        <a:stretch>
          <a:fillRect/>
        </a:stretch>
      </xdr:blipFill>
      <xdr:spPr>
        <a:xfrm>
          <a:off x="95250" y="17310895"/>
          <a:ext cx="5284701" cy="465204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Gordon Smith" id="{ACB97B52-42F7-461B-B8C3-CC37EC4289E0}" userId="Gordon Smith"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8" dT="2021-09-18T17:17:53.74" personId="{ACB97B52-42F7-461B-B8C3-CC37EC4289E0}" id="{68F5E8BB-67D4-4B59-9F60-2B93115A60D9}">
    <text>Change these to the ERG estimated reductions and the cost per ton will show in column G</text>
  </threadedComment>
  <threadedComment ref="C19" dT="2021-07-27T19:03:11.09" personId="{ACB97B52-42F7-461B-B8C3-CC37EC4289E0}" id="{D26ADA89-7AA7-48BC-9B67-C7F663A95272}">
    <text>From API CTG comments</text>
  </threadedComment>
  <threadedComment ref="C20" dT="2021-07-27T19:03:11.09" personId="{ACB97B52-42F7-461B-B8C3-CC37EC4289E0}" id="{E3EACB4A-0601-448B-991D-3A7081A6BF89}">
    <text>From API CTG comments</text>
  </threadedComment>
  <threadedComment ref="C21" dT="2021-07-27T19:03:11.09" personId="{ACB97B52-42F7-461B-B8C3-CC37EC4289E0}" id="{5CB30189-8A34-4529-8FAE-BBEB9A76D73B}">
    <text>From API CTG comments</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1A40B-3EF9-4337-AA99-6C07A3C4B4CC}">
  <dimension ref="A1:O61"/>
  <sheetViews>
    <sheetView tabSelected="1" workbookViewId="0">
      <selection activeCell="E72" sqref="E72"/>
    </sheetView>
  </sheetViews>
  <sheetFormatPr defaultColWidth="9.1796875" defaultRowHeight="14.5" x14ac:dyDescent="0.35"/>
  <cols>
    <col min="1" max="1" width="37.26953125" customWidth="1"/>
    <col min="2" max="2" width="19.26953125" customWidth="1"/>
    <col min="3" max="3" width="13.54296875" customWidth="1"/>
    <col min="4" max="4" width="14.54296875" bestFit="1" customWidth="1"/>
    <col min="5" max="5" width="14.453125" customWidth="1"/>
    <col min="6" max="6" width="22.7265625" customWidth="1"/>
    <col min="7" max="7" width="31.54296875" customWidth="1"/>
    <col min="8" max="8" width="29.7265625" customWidth="1"/>
    <col min="9" max="9" width="16.7265625" customWidth="1"/>
    <col min="10" max="10" width="19.54296875" customWidth="1"/>
    <col min="11" max="11" width="14.90625" bestFit="1" customWidth="1"/>
    <col min="12" max="12" width="15.26953125" customWidth="1"/>
    <col min="13" max="13" width="21.453125" customWidth="1"/>
    <col min="14" max="15" width="9.81640625" bestFit="1" customWidth="1"/>
  </cols>
  <sheetData>
    <row r="1" spans="1:13" x14ac:dyDescent="0.35">
      <c r="A1" t="s">
        <v>0</v>
      </c>
      <c r="I1" s="1"/>
      <c r="J1" s="1"/>
      <c r="K1" s="1"/>
      <c r="L1" s="1"/>
      <c r="M1" s="1"/>
    </row>
    <row r="2" spans="1:13" x14ac:dyDescent="0.35">
      <c r="A2" t="s">
        <v>1</v>
      </c>
      <c r="I2" s="1"/>
      <c r="J2" s="1"/>
      <c r="K2" s="1"/>
      <c r="L2" s="1"/>
      <c r="M2" s="1"/>
    </row>
    <row r="3" spans="1:13" x14ac:dyDescent="0.35">
      <c r="A3" t="s">
        <v>2</v>
      </c>
      <c r="I3" s="1"/>
      <c r="J3" s="1"/>
      <c r="K3" s="1"/>
      <c r="L3" s="1"/>
      <c r="M3" s="1"/>
    </row>
    <row r="4" spans="1:13" x14ac:dyDescent="0.35">
      <c r="I4" s="1"/>
      <c r="J4" s="1"/>
      <c r="K4" s="1"/>
      <c r="L4" s="1"/>
      <c r="M4" s="1"/>
    </row>
    <row r="5" spans="1:13" x14ac:dyDescent="0.35">
      <c r="A5" t="s">
        <v>3</v>
      </c>
      <c r="I5" s="1"/>
      <c r="J5" s="1"/>
      <c r="K5" s="1"/>
      <c r="L5" s="1"/>
      <c r="M5" s="1"/>
    </row>
    <row r="6" spans="1:13" x14ac:dyDescent="0.35">
      <c r="A6" t="s">
        <v>4</v>
      </c>
      <c r="B6" t="s">
        <v>5</v>
      </c>
      <c r="C6" t="s">
        <v>6</v>
      </c>
      <c r="I6" s="1"/>
      <c r="J6" s="1"/>
      <c r="K6" s="1"/>
      <c r="L6" s="1"/>
      <c r="M6" s="1"/>
    </row>
    <row r="7" spans="1:13" x14ac:dyDescent="0.35">
      <c r="A7" t="s">
        <v>7</v>
      </c>
      <c r="B7" t="s">
        <v>8</v>
      </c>
      <c r="C7" t="s">
        <v>9</v>
      </c>
      <c r="I7" s="1"/>
      <c r="J7" s="1"/>
      <c r="K7" s="1"/>
      <c r="L7" s="1"/>
      <c r="M7" s="1"/>
    </row>
    <row r="8" spans="1:13" x14ac:dyDescent="0.35">
      <c r="A8" t="s">
        <v>7</v>
      </c>
      <c r="B8" s="2" t="s">
        <v>10</v>
      </c>
      <c r="C8" t="s">
        <v>11</v>
      </c>
      <c r="I8" s="1"/>
      <c r="J8" s="1"/>
      <c r="K8" s="1"/>
      <c r="L8" s="1"/>
      <c r="M8" s="1"/>
    </row>
    <row r="9" spans="1:13" x14ac:dyDescent="0.35">
      <c r="A9" t="s">
        <v>7</v>
      </c>
      <c r="B9" s="2" t="s">
        <v>12</v>
      </c>
      <c r="C9" t="s">
        <v>13</v>
      </c>
      <c r="I9" s="1"/>
      <c r="J9" s="1"/>
      <c r="K9" s="1"/>
      <c r="L9" s="1"/>
      <c r="M9" s="1"/>
    </row>
    <row r="10" spans="1:13" x14ac:dyDescent="0.35">
      <c r="B10" s="2"/>
      <c r="I10" s="1"/>
      <c r="J10" s="1"/>
      <c r="K10" s="1"/>
      <c r="L10" s="1"/>
      <c r="M10" s="1"/>
    </row>
    <row r="11" spans="1:13" ht="15" thickBot="1" x14ac:dyDescent="0.4">
      <c r="A11" s="79" t="s">
        <v>14</v>
      </c>
      <c r="B11" s="79"/>
      <c r="C11" s="79"/>
      <c r="D11" s="79"/>
      <c r="E11" s="79"/>
      <c r="F11" s="79"/>
      <c r="G11" s="79"/>
      <c r="H11" s="79"/>
      <c r="I11" s="1"/>
      <c r="J11" s="1"/>
      <c r="K11" s="1"/>
      <c r="L11" s="1"/>
      <c r="M11" s="1"/>
    </row>
    <row r="12" spans="1:13" ht="43.5" x14ac:dyDescent="0.35">
      <c r="A12" s="3" t="s">
        <v>15</v>
      </c>
      <c r="B12" s="4" t="s">
        <v>16</v>
      </c>
      <c r="F12" s="83" t="s">
        <v>76</v>
      </c>
      <c r="G12" s="83"/>
      <c r="I12" s="1"/>
      <c r="J12" s="1"/>
      <c r="K12" s="1"/>
      <c r="L12" s="1"/>
      <c r="M12" s="1"/>
    </row>
    <row r="13" spans="1:13" ht="29" x14ac:dyDescent="0.35">
      <c r="A13" s="4" t="s">
        <v>4</v>
      </c>
      <c r="B13" s="4" t="s">
        <v>18</v>
      </c>
      <c r="C13" s="4" t="s">
        <v>19</v>
      </c>
      <c r="D13" s="4" t="s">
        <v>20</v>
      </c>
      <c r="E13" s="4" t="s">
        <v>21</v>
      </c>
      <c r="F13" s="4" t="s">
        <v>22</v>
      </c>
      <c r="G13" s="4" t="s">
        <v>75</v>
      </c>
      <c r="I13" s="1"/>
      <c r="J13" s="1"/>
      <c r="K13" s="1"/>
      <c r="L13" s="1"/>
      <c r="M13" s="1"/>
    </row>
    <row r="14" spans="1:13" x14ac:dyDescent="0.35">
      <c r="A14" t="s">
        <v>23</v>
      </c>
      <c r="B14">
        <v>0.51</v>
      </c>
      <c r="C14" s="5">
        <v>1318</v>
      </c>
      <c r="D14" s="5">
        <v>2158</v>
      </c>
      <c r="E14" s="6">
        <f>D$46/B$46*C14</f>
        <v>1369.6288060212109</v>
      </c>
      <c r="F14" s="6">
        <f>D14*D$46/B$46</f>
        <v>2242.5333561409511</v>
      </c>
      <c r="G14" s="22">
        <f>E14/B14</f>
        <v>2685.5466784729624</v>
      </c>
      <c r="I14" s="7"/>
      <c r="J14" s="20"/>
      <c r="K14" s="20"/>
      <c r="L14" s="1"/>
      <c r="M14" s="1"/>
    </row>
    <row r="15" spans="1:13" x14ac:dyDescent="0.35">
      <c r="A15" t="s">
        <v>24</v>
      </c>
      <c r="B15">
        <v>9.6000000000000002E-2</v>
      </c>
      <c r="C15" s="5">
        <v>1318</v>
      </c>
      <c r="D15" s="5">
        <v>9953</v>
      </c>
      <c r="E15" s="6">
        <f>D$46/B$46*C15</f>
        <v>1369.6288060212109</v>
      </c>
      <c r="F15" s="6">
        <f>D15*D$46/B$46</f>
        <v>10342.879746835442</v>
      </c>
      <c r="G15" s="22">
        <f t="shared" ref="G15:G16" si="0">E15/B15</f>
        <v>14266.966729387614</v>
      </c>
      <c r="H15" t="s">
        <v>25</v>
      </c>
      <c r="I15" s="1"/>
      <c r="J15" s="1"/>
      <c r="K15" s="1"/>
      <c r="L15" s="1"/>
      <c r="M15" s="1"/>
    </row>
    <row r="16" spans="1:13" x14ac:dyDescent="0.35">
      <c r="A16" t="s">
        <v>26</v>
      </c>
      <c r="B16" s="7">
        <v>0.122</v>
      </c>
      <c r="C16" s="5">
        <v>1318</v>
      </c>
      <c r="D16" s="5">
        <v>4380</v>
      </c>
      <c r="E16" s="6">
        <f>D$46/B$46*C16</f>
        <v>1369.6288060212109</v>
      </c>
      <c r="F16" s="6">
        <f>D16*D$46/B$46</f>
        <v>4551.5737256243583</v>
      </c>
      <c r="G16" s="22">
        <f t="shared" si="0"/>
        <v>11226.465623124681</v>
      </c>
      <c r="I16" s="1"/>
      <c r="J16" s="1"/>
      <c r="K16" s="1"/>
      <c r="L16" s="1"/>
      <c r="M16" s="1"/>
    </row>
    <row r="17" spans="1:15" ht="43.5" x14ac:dyDescent="0.35">
      <c r="A17" s="3" t="s">
        <v>27</v>
      </c>
      <c r="B17" s="4" t="s">
        <v>16</v>
      </c>
      <c r="C17" t="s">
        <v>69</v>
      </c>
      <c r="F17" s="84" t="s">
        <v>28</v>
      </c>
      <c r="G17" s="84"/>
      <c r="K17" s="1"/>
      <c r="L17" s="1"/>
      <c r="M17" s="1"/>
    </row>
    <row r="18" spans="1:15" s="4" customFormat="1" ht="58" x14ac:dyDescent="0.35">
      <c r="A18" s="4" t="s">
        <v>4</v>
      </c>
      <c r="B18" s="4" t="s">
        <v>18</v>
      </c>
      <c r="C18" s="4" t="s">
        <v>19</v>
      </c>
      <c r="D18" s="4" t="s">
        <v>20</v>
      </c>
      <c r="E18" s="4" t="s">
        <v>21</v>
      </c>
      <c r="F18" s="4" t="s">
        <v>77</v>
      </c>
      <c r="G18" s="4" t="s">
        <v>75</v>
      </c>
      <c r="H18" s="4" t="s">
        <v>29</v>
      </c>
      <c r="I18" s="4" t="s">
        <v>30</v>
      </c>
      <c r="J18" s="4" t="s">
        <v>31</v>
      </c>
      <c r="K18" s="4" t="s">
        <v>32</v>
      </c>
      <c r="L18" s="4" t="s">
        <v>33</v>
      </c>
      <c r="M18" s="1" t="s">
        <v>34</v>
      </c>
    </row>
    <row r="19" spans="1:15" x14ac:dyDescent="0.35">
      <c r="A19" t="s">
        <v>35</v>
      </c>
      <c r="B19" s="30">
        <v>0.76372519233383973</v>
      </c>
      <c r="C19" s="5">
        <v>6400</v>
      </c>
      <c r="D19" s="5">
        <v>2494</v>
      </c>
      <c r="E19" s="6">
        <f>D$46/B$46*C19</f>
        <v>6650.7013342456376</v>
      </c>
      <c r="F19" s="6">
        <f>D19*D$46/B$46</f>
        <v>2591.6951761888472</v>
      </c>
      <c r="G19" s="23">
        <f>E19/B19</f>
        <v>8708.238776204309</v>
      </c>
      <c r="H19" s="8">
        <v>23830</v>
      </c>
      <c r="I19" s="8">
        <v>147</v>
      </c>
      <c r="J19" s="8">
        <f>H19/2</f>
        <v>11915</v>
      </c>
      <c r="K19" s="8">
        <f>ROUND((H19-I19)/2,0)</f>
        <v>11842</v>
      </c>
      <c r="L19" s="5">
        <f>E19*K19</f>
        <v>78757605.20013684</v>
      </c>
      <c r="M19" s="8">
        <f>B19*K19</f>
        <v>9044.0337276173304</v>
      </c>
    </row>
    <row r="20" spans="1:15" x14ac:dyDescent="0.35">
      <c r="A20" t="s">
        <v>24</v>
      </c>
      <c r="B20">
        <v>0.14299999999999999</v>
      </c>
      <c r="C20" s="5">
        <v>6400</v>
      </c>
      <c r="D20" s="5">
        <v>11503</v>
      </c>
      <c r="E20" s="6">
        <f>D$46/B$46*C20</f>
        <v>6650.7013342456376</v>
      </c>
      <c r="F20" s="6">
        <f>D20*D$46/B$46</f>
        <v>11953.596476223058</v>
      </c>
      <c r="G20" s="23">
        <f>E20/B20</f>
        <v>46508.400938780687</v>
      </c>
      <c r="H20" s="8">
        <v>4361</v>
      </c>
      <c r="I20" s="8">
        <v>70</v>
      </c>
      <c r="J20" s="8">
        <f>H20/2</f>
        <v>2180.5</v>
      </c>
      <c r="K20" s="8">
        <f>ROUND((H20-I20)/2,0)</f>
        <v>2146</v>
      </c>
      <c r="L20" s="5">
        <f>E20*K20</f>
        <v>14272405.063291138</v>
      </c>
      <c r="M20" s="8">
        <f>B20*K20</f>
        <v>306.87799999999999</v>
      </c>
    </row>
    <row r="21" spans="1:15" x14ac:dyDescent="0.35">
      <c r="A21" t="s">
        <v>36</v>
      </c>
      <c r="B21">
        <v>0.183</v>
      </c>
      <c r="C21" s="5">
        <v>6400</v>
      </c>
      <c r="D21" s="5">
        <v>5062</v>
      </c>
      <c r="E21" s="6">
        <f>D$46/B$46*C21</f>
        <v>6650.7013342456376</v>
      </c>
      <c r="F21" s="6">
        <f>D21*D$46/B$46</f>
        <v>5260.2890865549089</v>
      </c>
      <c r="G21" s="23">
        <f>E21/B21</f>
        <v>36342.630241779443</v>
      </c>
      <c r="H21" s="8">
        <v>19746</v>
      </c>
      <c r="I21" s="8">
        <v>3738</v>
      </c>
      <c r="J21" s="8">
        <f>H21/2</f>
        <v>9873</v>
      </c>
      <c r="K21" s="8">
        <f>ROUND((H21-I21)/2,0)</f>
        <v>8004</v>
      </c>
      <c r="L21" s="5">
        <f>E21*K21</f>
        <v>53232213.479302086</v>
      </c>
      <c r="M21" s="8">
        <f>B21*K21</f>
        <v>1464.732</v>
      </c>
    </row>
    <row r="22" spans="1:15" ht="43.5" x14ac:dyDescent="0.35">
      <c r="A22" s="3" t="s">
        <v>37</v>
      </c>
      <c r="B22" s="4" t="s">
        <v>16</v>
      </c>
      <c r="C22" t="s">
        <v>69</v>
      </c>
      <c r="F22" t="s">
        <v>17</v>
      </c>
      <c r="G22" s="21"/>
      <c r="H22" s="9" t="s">
        <v>38</v>
      </c>
      <c r="I22" s="10">
        <f>SUM(J19:J21)</f>
        <v>23968.5</v>
      </c>
      <c r="J22" s="10">
        <f>SUM(K19:K21)</f>
        <v>21992</v>
      </c>
      <c r="K22" s="11">
        <f>SUM(L19:L21)</f>
        <v>146262223.74273005</v>
      </c>
      <c r="L22" s="10">
        <f>SUM(M19:M21)</f>
        <v>10815.643727617331</v>
      </c>
      <c r="M22" s="1"/>
    </row>
    <row r="23" spans="1:15" ht="29" x14ac:dyDescent="0.35">
      <c r="A23" s="4" t="s">
        <v>4</v>
      </c>
      <c r="B23" s="4" t="s">
        <v>18</v>
      </c>
      <c r="C23" s="4" t="s">
        <v>19</v>
      </c>
      <c r="D23" s="4" t="s">
        <v>20</v>
      </c>
      <c r="E23" s="4" t="s">
        <v>21</v>
      </c>
      <c r="F23" s="4" t="s">
        <v>22</v>
      </c>
      <c r="G23" s="4" t="s">
        <v>75</v>
      </c>
      <c r="I23" s="1"/>
      <c r="J23" s="1"/>
      <c r="K23" s="1"/>
      <c r="L23" s="1"/>
      <c r="M23" s="1"/>
    </row>
    <row r="24" spans="1:15" x14ac:dyDescent="0.35">
      <c r="A24" t="s">
        <v>23</v>
      </c>
      <c r="B24">
        <v>1.02</v>
      </c>
      <c r="C24" s="5">
        <v>4220</v>
      </c>
      <c r="D24" s="5">
        <v>3453</v>
      </c>
      <c r="E24" s="6">
        <f>D$46/B$46*C24</f>
        <v>4385.3061922682173</v>
      </c>
      <c r="F24" s="6">
        <f>D24*D$46/B$46</f>
        <v>3588.2612042422165</v>
      </c>
      <c r="G24" s="24">
        <f>E24/B24</f>
        <v>4299.3197963413895</v>
      </c>
      <c r="J24" s="1"/>
      <c r="K24" s="1"/>
      <c r="L24" s="1"/>
      <c r="M24" s="1"/>
    </row>
    <row r="25" spans="1:15" x14ac:dyDescent="0.35">
      <c r="A25" t="s">
        <v>24</v>
      </c>
      <c r="B25">
        <v>0.191</v>
      </c>
      <c r="C25" s="5">
        <v>4220</v>
      </c>
      <c r="D25" s="5">
        <v>15929</v>
      </c>
      <c r="E25" s="6">
        <f>D$46/B$46*C25</f>
        <v>4385.3061922682173</v>
      </c>
      <c r="F25" s="6">
        <f>D25*D$46/B$46</f>
        <v>16552.972117687306</v>
      </c>
      <c r="G25" s="22">
        <f>E25/B25</f>
        <v>22959.718284126793</v>
      </c>
      <c r="H25">
        <v>0.91700000000000004</v>
      </c>
      <c r="I25" s="1"/>
      <c r="J25" s="18">
        <f>SUM(H19:H21)</f>
        <v>47937</v>
      </c>
      <c r="K25" s="1"/>
      <c r="L25" s="1"/>
      <c r="M25" s="1"/>
    </row>
    <row r="26" spans="1:15" x14ac:dyDescent="0.35">
      <c r="A26" t="s">
        <v>26</v>
      </c>
      <c r="B26">
        <v>0.24399999999999999</v>
      </c>
      <c r="C26" s="5">
        <v>4220</v>
      </c>
      <c r="D26" s="5">
        <v>7010</v>
      </c>
      <c r="E26" s="6">
        <f>D$46/B$46*C26</f>
        <v>4385.3061922682173</v>
      </c>
      <c r="F26" s="6">
        <f>D26*D$46/B$46</f>
        <v>7284.5963051659255</v>
      </c>
      <c r="G26" s="22">
        <f>E26/B26</f>
        <v>17972.566361754991</v>
      </c>
      <c r="I26" s="1"/>
      <c r="J26" s="1"/>
      <c r="K26" s="1"/>
      <c r="L26" s="1"/>
      <c r="M26" s="1"/>
    </row>
    <row r="27" spans="1:15" x14ac:dyDescent="0.35">
      <c r="A27" s="4"/>
      <c r="C27" s="5"/>
      <c r="D27" s="5"/>
      <c r="E27" s="6"/>
      <c r="F27" s="6"/>
      <c r="I27" s="1"/>
      <c r="J27" s="1"/>
      <c r="K27" s="1"/>
      <c r="L27" s="1"/>
      <c r="M27" s="1"/>
    </row>
    <row r="28" spans="1:15" ht="58" x14ac:dyDescent="0.35">
      <c r="A28" s="3" t="s">
        <v>39</v>
      </c>
      <c r="F28" t="s">
        <v>17</v>
      </c>
      <c r="I28" s="82" t="s">
        <v>73</v>
      </c>
      <c r="J28" s="82"/>
      <c r="K28" s="82"/>
      <c r="L28" s="82"/>
      <c r="M28" s="82"/>
      <c r="N28" s="82"/>
      <c r="O28" s="82"/>
    </row>
    <row r="29" spans="1:15" ht="29" x14ac:dyDescent="0.35">
      <c r="A29" s="4" t="s">
        <v>4</v>
      </c>
      <c r="B29" s="4" t="s">
        <v>18</v>
      </c>
      <c r="C29" s="4" t="s">
        <v>19</v>
      </c>
      <c r="D29" s="4" t="s">
        <v>20</v>
      </c>
      <c r="E29" s="4" t="s">
        <v>21</v>
      </c>
      <c r="F29" s="4" t="s">
        <v>22</v>
      </c>
      <c r="G29" s="4" t="s">
        <v>16</v>
      </c>
      <c r="I29" s="25"/>
      <c r="J29" s="82" t="s">
        <v>74</v>
      </c>
      <c r="K29" s="82"/>
      <c r="L29" s="82"/>
      <c r="M29" s="82" t="s">
        <v>70</v>
      </c>
      <c r="N29" s="82"/>
      <c r="O29" s="82"/>
    </row>
    <row r="30" spans="1:15" ht="39.5" x14ac:dyDescent="0.35">
      <c r="A30" t="s">
        <v>23</v>
      </c>
      <c r="B30">
        <v>1.0429999999999999</v>
      </c>
      <c r="C30" s="5">
        <v>2300</v>
      </c>
      <c r="D30" s="5">
        <v>2204</v>
      </c>
      <c r="E30" s="6">
        <f>D$46/B$46*C30</f>
        <v>2390.0957919945258</v>
      </c>
      <c r="F30" s="6">
        <f>D30*D$46/B$46</f>
        <v>2290.3352719808413</v>
      </c>
      <c r="G30" t="s">
        <v>40</v>
      </c>
      <c r="I30" s="25"/>
      <c r="J30" s="26" t="s">
        <v>71</v>
      </c>
      <c r="K30" s="27" t="s">
        <v>72</v>
      </c>
      <c r="L30" s="27" t="s">
        <v>98</v>
      </c>
      <c r="M30" s="27" t="s">
        <v>71</v>
      </c>
      <c r="N30" s="27" t="s">
        <v>72</v>
      </c>
      <c r="O30" s="27" t="s">
        <v>98</v>
      </c>
    </row>
    <row r="31" spans="1:15" x14ac:dyDescent="0.35">
      <c r="A31" t="s">
        <v>24</v>
      </c>
      <c r="B31">
        <v>0.22600000000000001</v>
      </c>
      <c r="C31" s="5">
        <v>2300</v>
      </c>
      <c r="D31" s="5">
        <v>10169</v>
      </c>
      <c r="E31" s="6">
        <f>D$46/B$46*C31</f>
        <v>2390.0957919945258</v>
      </c>
      <c r="F31" s="6">
        <f>D31*D$46/B$46</f>
        <v>10567.340916866233</v>
      </c>
      <c r="I31" s="28" t="s">
        <v>68</v>
      </c>
      <c r="J31" s="29">
        <f>F14</f>
        <v>2242.5333561409511</v>
      </c>
      <c r="K31" s="29">
        <f>F15</f>
        <v>10342.879746835442</v>
      </c>
      <c r="L31" s="29">
        <f>F16</f>
        <v>4551.5737256243583</v>
      </c>
      <c r="M31" s="29">
        <f>G14</f>
        <v>2685.5466784729624</v>
      </c>
      <c r="N31" s="29">
        <f>G15</f>
        <v>14266.966729387614</v>
      </c>
      <c r="O31" s="29">
        <f>G16</f>
        <v>11226.465623124681</v>
      </c>
    </row>
    <row r="32" spans="1:15" x14ac:dyDescent="0.35">
      <c r="A32" t="s">
        <v>26</v>
      </c>
      <c r="B32">
        <v>0.51400000000000001</v>
      </c>
      <c r="C32" s="5">
        <v>2300</v>
      </c>
      <c r="D32" s="5">
        <v>4475</v>
      </c>
      <c r="E32" s="6">
        <f>D$46/B$46*C32</f>
        <v>2390.0957919945258</v>
      </c>
      <c r="F32" s="6">
        <f>D32*D$46/B$46</f>
        <v>4650.2950735545674</v>
      </c>
      <c r="I32" s="28" t="s">
        <v>67</v>
      </c>
      <c r="J32" s="29">
        <f>F19</f>
        <v>2591.6951761888472</v>
      </c>
      <c r="K32" s="29">
        <f>F20</f>
        <v>11953.596476223058</v>
      </c>
      <c r="L32" s="29">
        <f>F21</f>
        <v>5260.2890865549089</v>
      </c>
      <c r="M32" s="29">
        <f>G19</f>
        <v>8708.238776204309</v>
      </c>
      <c r="N32" s="29">
        <f>G20</f>
        <v>46508.400938780687</v>
      </c>
      <c r="O32" s="29">
        <f>G21</f>
        <v>36342.630241779443</v>
      </c>
    </row>
    <row r="33" spans="1:15" ht="58" x14ac:dyDescent="0.35">
      <c r="A33" s="3" t="s">
        <v>41</v>
      </c>
      <c r="B33" s="4" t="s">
        <v>16</v>
      </c>
      <c r="C33" t="s">
        <v>42</v>
      </c>
      <c r="F33" t="s">
        <v>17</v>
      </c>
      <c r="I33" s="28" t="s">
        <v>13</v>
      </c>
      <c r="J33" s="29">
        <f>F24</f>
        <v>3588.2612042422165</v>
      </c>
      <c r="K33" s="29">
        <f>F25</f>
        <v>16552.972117687306</v>
      </c>
      <c r="L33" s="29">
        <f>F26</f>
        <v>7284.5963051659255</v>
      </c>
      <c r="M33" s="29">
        <f>G24</f>
        <v>4299.3197963413895</v>
      </c>
      <c r="N33" s="29">
        <f>G25</f>
        <v>22959.718284126793</v>
      </c>
      <c r="O33" s="29">
        <f>G26</f>
        <v>17972.566361754991</v>
      </c>
    </row>
    <row r="34" spans="1:15" ht="29" x14ac:dyDescent="0.35">
      <c r="A34" s="4" t="s">
        <v>4</v>
      </c>
      <c r="B34" s="4" t="s">
        <v>18</v>
      </c>
      <c r="C34" s="4" t="s">
        <v>19</v>
      </c>
      <c r="D34" s="4" t="s">
        <v>20</v>
      </c>
      <c r="E34" s="4" t="s">
        <v>21</v>
      </c>
      <c r="F34" s="4" t="s">
        <v>22</v>
      </c>
      <c r="I34" s="1"/>
      <c r="J34" s="1"/>
      <c r="K34" s="1"/>
      <c r="L34" s="1"/>
      <c r="M34" s="1"/>
    </row>
    <row r="35" spans="1:15" x14ac:dyDescent="0.35">
      <c r="A35" t="s">
        <v>23</v>
      </c>
      <c r="B35">
        <v>1.1519999999999999</v>
      </c>
      <c r="C35" s="5">
        <v>3907</v>
      </c>
      <c r="D35" s="5">
        <v>3392</v>
      </c>
      <c r="E35" s="6">
        <f>D$46/B$46*C35</f>
        <v>4060.0453301402667</v>
      </c>
      <c r="F35" s="6">
        <f>D35*D$46/B$46</f>
        <v>3524.8717071501878</v>
      </c>
      <c r="J35" s="1"/>
      <c r="K35" s="1"/>
      <c r="L35" s="1"/>
      <c r="M35" s="1"/>
    </row>
    <row r="36" spans="1:15" x14ac:dyDescent="0.35">
      <c r="A36" t="s">
        <v>24</v>
      </c>
      <c r="B36">
        <v>0.25</v>
      </c>
      <c r="C36" s="5">
        <v>3907</v>
      </c>
      <c r="D36" s="5">
        <v>15648</v>
      </c>
      <c r="E36" s="6">
        <f>D$46/B$46*C36</f>
        <v>4060.0453301402667</v>
      </c>
      <c r="F36" s="6">
        <f>D36*D$46/B$46</f>
        <v>16260.964762230584</v>
      </c>
      <c r="I36" s="1"/>
      <c r="J36" s="1"/>
      <c r="K36" s="1"/>
      <c r="L36" s="1"/>
      <c r="M36" s="1"/>
    </row>
    <row r="37" spans="1:15" x14ac:dyDescent="0.35">
      <c r="A37" t="s">
        <v>26</v>
      </c>
      <c r="B37">
        <v>0.56699999999999995</v>
      </c>
      <c r="C37" s="5">
        <v>3907</v>
      </c>
      <c r="D37" s="5">
        <v>6887</v>
      </c>
      <c r="E37" s="6">
        <f>D$46/B$46*C37</f>
        <v>4060.0453301402667</v>
      </c>
      <c r="F37" s="6">
        <f>D37*D$46/B$46</f>
        <v>7156.7781388983922</v>
      </c>
      <c r="I37" s="1"/>
      <c r="J37" s="19"/>
      <c r="K37" s="19"/>
      <c r="L37" s="19"/>
      <c r="M37" s="1"/>
    </row>
    <row r="38" spans="1:15" ht="58" x14ac:dyDescent="0.35">
      <c r="A38" s="3" t="s">
        <v>43</v>
      </c>
      <c r="B38" s="4" t="s">
        <v>16</v>
      </c>
      <c r="C38" t="s">
        <v>44</v>
      </c>
      <c r="E38" s="12"/>
      <c r="F38" t="s">
        <v>17</v>
      </c>
      <c r="I38" s="1"/>
      <c r="J38" s="1"/>
      <c r="K38" s="1"/>
      <c r="L38" s="1"/>
      <c r="M38" s="1"/>
    </row>
    <row r="39" spans="1:15" ht="29" x14ac:dyDescent="0.35">
      <c r="A39" s="4" t="s">
        <v>4</v>
      </c>
      <c r="B39" s="4" t="s">
        <v>18</v>
      </c>
      <c r="C39" s="4" t="s">
        <v>19</v>
      </c>
      <c r="D39" s="4" t="s">
        <v>20</v>
      </c>
      <c r="E39" s="4" t="s">
        <v>21</v>
      </c>
      <c r="F39" s="4" t="s">
        <v>22</v>
      </c>
      <c r="I39" s="1"/>
      <c r="J39" s="1"/>
      <c r="K39" s="1"/>
      <c r="L39" s="1"/>
      <c r="M39" s="1"/>
    </row>
    <row r="40" spans="1:15" x14ac:dyDescent="0.35">
      <c r="A40" t="s">
        <v>23</v>
      </c>
      <c r="B40">
        <v>1.26</v>
      </c>
      <c r="C40" s="5">
        <v>7121</v>
      </c>
      <c r="D40" s="5">
        <v>5651</v>
      </c>
      <c r="E40" s="6">
        <f>D$46/B$46*C40</f>
        <v>7399.9444064317477</v>
      </c>
      <c r="F40" s="6">
        <f>D40*D$46/B$46</f>
        <v>5872.3614437222031</v>
      </c>
      <c r="J40" s="1"/>
      <c r="K40" s="1"/>
      <c r="L40" s="1"/>
      <c r="M40" s="1"/>
    </row>
    <row r="41" spans="1:15" x14ac:dyDescent="0.35">
      <c r="A41" t="s">
        <v>24</v>
      </c>
      <c r="B41">
        <v>0.27300000000000002</v>
      </c>
      <c r="C41" s="5">
        <v>7121</v>
      </c>
      <c r="D41" s="5">
        <v>26067</v>
      </c>
      <c r="E41" s="6">
        <f>D$46/B$46*C41</f>
        <v>7399.9444064317477</v>
      </c>
      <c r="F41" s="6">
        <f>D41*D$46/B$46</f>
        <v>27088.098699965787</v>
      </c>
      <c r="I41" s="1"/>
      <c r="J41" s="1"/>
      <c r="K41" s="1"/>
      <c r="L41" s="1"/>
      <c r="M41" s="1"/>
    </row>
    <row r="42" spans="1:15" x14ac:dyDescent="0.35">
      <c r="A42" t="s">
        <v>26</v>
      </c>
      <c r="B42">
        <v>0.621</v>
      </c>
      <c r="C42" s="5">
        <v>7121</v>
      </c>
      <c r="D42" s="5">
        <v>11472</v>
      </c>
      <c r="E42" s="6">
        <f>D$46/B$46*C42</f>
        <v>7399.9444064317477</v>
      </c>
      <c r="F42" s="6">
        <f>D42*D$46/B$46</f>
        <v>11921.382141635306</v>
      </c>
      <c r="I42" s="1"/>
      <c r="J42" s="1"/>
      <c r="K42" s="1"/>
      <c r="L42" s="1"/>
      <c r="M42" s="1"/>
    </row>
    <row r="45" spans="1:15" x14ac:dyDescent="0.35">
      <c r="A45" t="s">
        <v>45</v>
      </c>
      <c r="B45" s="13">
        <v>2012</v>
      </c>
      <c r="C45" s="13">
        <v>2013</v>
      </c>
      <c r="D45" s="14">
        <v>2019</v>
      </c>
    </row>
    <row r="46" spans="1:15" x14ac:dyDescent="0.35">
      <c r="B46" s="14">
        <v>584.6</v>
      </c>
      <c r="C46" s="14">
        <v>567.29999999999995</v>
      </c>
      <c r="D46" s="14">
        <v>607.5</v>
      </c>
    </row>
    <row r="48" spans="1:15" x14ac:dyDescent="0.35">
      <c r="A48" t="s">
        <v>46</v>
      </c>
    </row>
    <row r="49" spans="1:9" x14ac:dyDescent="0.35">
      <c r="A49" t="s">
        <v>47</v>
      </c>
    </row>
    <row r="50" spans="1:9" x14ac:dyDescent="0.35">
      <c r="A50" s="80" t="s">
        <v>48</v>
      </c>
      <c r="B50" s="80"/>
      <c r="C50" s="80"/>
      <c r="D50" s="80"/>
      <c r="E50" s="80"/>
      <c r="F50" s="80"/>
      <c r="G50" s="80"/>
    </row>
    <row r="51" spans="1:9" x14ac:dyDescent="0.35">
      <c r="E51" s="81" t="s">
        <v>49</v>
      </c>
      <c r="F51" s="81"/>
      <c r="G51" s="81"/>
    </row>
    <row r="52" spans="1:9" ht="29" x14ac:dyDescent="0.35">
      <c r="A52" s="4" t="s">
        <v>4</v>
      </c>
      <c r="B52" s="4" t="s">
        <v>29</v>
      </c>
      <c r="C52" s="3" t="s">
        <v>50</v>
      </c>
      <c r="D52" t="s">
        <v>51</v>
      </c>
      <c r="E52" s="15" t="s">
        <v>52</v>
      </c>
      <c r="F52" t="s">
        <v>53</v>
      </c>
      <c r="G52" t="s">
        <v>54</v>
      </c>
      <c r="H52" s="4" t="s">
        <v>55</v>
      </c>
      <c r="I52" t="s">
        <v>56</v>
      </c>
    </row>
    <row r="53" spans="1:9" x14ac:dyDescent="0.35">
      <c r="A53" t="s">
        <v>23</v>
      </c>
      <c r="B53" s="8">
        <v>23830</v>
      </c>
      <c r="C53" s="16">
        <f>B53/2</f>
        <v>11915</v>
      </c>
      <c r="D53" s="8" t="s">
        <v>57</v>
      </c>
      <c r="E53" s="16">
        <v>79743</v>
      </c>
      <c r="F53" s="8">
        <v>6824</v>
      </c>
      <c r="G53" s="8">
        <f>SUM(E53:F53)</f>
        <v>86567</v>
      </c>
      <c r="H53" s="17">
        <f>E53/C53</f>
        <v>6.6926563155686107</v>
      </c>
      <c r="I53" t="s">
        <v>58</v>
      </c>
    </row>
    <row r="54" spans="1:9" x14ac:dyDescent="0.35">
      <c r="A54" t="s">
        <v>24</v>
      </c>
      <c r="B54" s="8">
        <v>4361</v>
      </c>
      <c r="C54" s="16">
        <f t="shared" ref="C54:C55" si="1">B54/2</f>
        <v>2180.5</v>
      </c>
      <c r="D54" s="8" t="s">
        <v>59</v>
      </c>
      <c r="E54" s="16">
        <v>86813</v>
      </c>
      <c r="F54" s="8">
        <v>11164</v>
      </c>
      <c r="G54" s="8">
        <f>SUM(E54:F54)</f>
        <v>97977</v>
      </c>
      <c r="H54" s="17">
        <f>E54/SUM(C54:C55)</f>
        <v>7.202306384037831</v>
      </c>
      <c r="I54" t="s">
        <v>60</v>
      </c>
    </row>
    <row r="55" spans="1:9" x14ac:dyDescent="0.35">
      <c r="A55" t="s">
        <v>26</v>
      </c>
      <c r="B55" s="8">
        <v>19746</v>
      </c>
      <c r="C55" s="16">
        <f t="shared" si="1"/>
        <v>9873</v>
      </c>
      <c r="D55" s="8"/>
      <c r="E55" s="8"/>
      <c r="F55" s="8"/>
      <c r="G55" s="8"/>
      <c r="H55" s="17">
        <f>SUM(E53:E54)/SUM(C53:C55)</f>
        <v>6.9489538352420883</v>
      </c>
      <c r="I55" t="s">
        <v>61</v>
      </c>
    </row>
    <row r="57" spans="1:9" x14ac:dyDescent="0.35">
      <c r="A57" t="s">
        <v>62</v>
      </c>
    </row>
    <row r="58" spans="1:9" x14ac:dyDescent="0.35">
      <c r="A58" t="s">
        <v>63</v>
      </c>
    </row>
    <row r="59" spans="1:9" x14ac:dyDescent="0.35">
      <c r="A59" t="s">
        <v>64</v>
      </c>
    </row>
    <row r="60" spans="1:9" x14ac:dyDescent="0.35">
      <c r="A60" t="s">
        <v>65</v>
      </c>
    </row>
    <row r="61" spans="1:9" x14ac:dyDescent="0.35">
      <c r="A61" t="s">
        <v>66</v>
      </c>
    </row>
  </sheetData>
  <mergeCells count="8">
    <mergeCell ref="A11:H11"/>
    <mergeCell ref="A50:G50"/>
    <mergeCell ref="E51:G51"/>
    <mergeCell ref="I28:O28"/>
    <mergeCell ref="J29:L29"/>
    <mergeCell ref="M29:O29"/>
    <mergeCell ref="F12:G12"/>
    <mergeCell ref="F17:G17"/>
  </mergeCell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FA587-31CD-492D-BB79-8AB1543BC3E4}">
  <dimension ref="A1:R45"/>
  <sheetViews>
    <sheetView topLeftCell="H13" workbookViewId="0">
      <selection activeCell="O29" sqref="O29"/>
    </sheetView>
  </sheetViews>
  <sheetFormatPr defaultRowHeight="14.5" x14ac:dyDescent="0.35"/>
  <cols>
    <col min="1" max="1" width="37.26953125" style="31" customWidth="1"/>
    <col min="2" max="4" width="17.1796875" style="32" customWidth="1"/>
    <col min="5" max="5" width="14.08984375" style="32" customWidth="1"/>
    <col min="6" max="6" width="22.7265625" style="31" customWidth="1"/>
    <col min="7" max="8" width="8.7265625" style="31"/>
    <col min="9" max="9" width="26.453125" style="31" customWidth="1"/>
    <col min="10" max="10" width="14.1796875" style="31" customWidth="1"/>
    <col min="11" max="11" width="13.6328125" style="31" customWidth="1"/>
    <col min="12" max="12" width="13.81640625" style="31" customWidth="1"/>
    <col min="13" max="14" width="8.7265625" style="31"/>
    <col min="15" max="15" width="25.1796875" style="31" customWidth="1"/>
    <col min="16" max="16" width="17.08984375" style="31" customWidth="1"/>
    <col min="17" max="18" width="13.453125" style="31" customWidth="1"/>
    <col min="19" max="16384" width="8.7265625" style="31"/>
  </cols>
  <sheetData>
    <row r="1" spans="1:18" x14ac:dyDescent="0.35">
      <c r="A1" s="85" t="s">
        <v>78</v>
      </c>
      <c r="B1" s="85"/>
      <c r="C1" s="85"/>
      <c r="D1" s="85"/>
      <c r="E1" s="85"/>
      <c r="F1" s="85"/>
      <c r="G1" s="41"/>
      <c r="H1" s="41"/>
      <c r="I1" s="41"/>
      <c r="J1" s="41"/>
      <c r="K1" s="41"/>
      <c r="L1" s="41"/>
    </row>
    <row r="3" spans="1:18" x14ac:dyDescent="0.35">
      <c r="A3" s="15" t="s">
        <v>79</v>
      </c>
      <c r="I3" s="86" t="s">
        <v>88</v>
      </c>
      <c r="J3" s="86"/>
      <c r="K3" s="86"/>
      <c r="L3" s="86"/>
      <c r="M3" s="35"/>
      <c r="O3" s="87" t="s">
        <v>89</v>
      </c>
      <c r="P3" s="88"/>
      <c r="Q3" s="88"/>
      <c r="R3" s="89"/>
    </row>
    <row r="4" spans="1:18" ht="42.5" customHeight="1" x14ac:dyDescent="0.35">
      <c r="A4" s="32" t="s">
        <v>15</v>
      </c>
      <c r="B4" s="32" t="s">
        <v>16</v>
      </c>
      <c r="C4" s="32" t="s">
        <v>80</v>
      </c>
      <c r="F4" s="32" t="s">
        <v>17</v>
      </c>
      <c r="I4" s="39" t="s">
        <v>83</v>
      </c>
      <c r="J4" s="40" t="s">
        <v>84</v>
      </c>
      <c r="K4" s="40" t="s">
        <v>85</v>
      </c>
      <c r="L4" s="40" t="s">
        <v>86</v>
      </c>
      <c r="O4" s="70" t="s">
        <v>83</v>
      </c>
      <c r="P4" s="40" t="s">
        <v>84</v>
      </c>
      <c r="Q4" s="40" t="s">
        <v>85</v>
      </c>
      <c r="R4" s="40" t="s">
        <v>86</v>
      </c>
    </row>
    <row r="5" spans="1:18" ht="18.5" customHeight="1" x14ac:dyDescent="0.35">
      <c r="A5" s="31" t="s">
        <v>4</v>
      </c>
      <c r="B5" s="32" t="s">
        <v>18</v>
      </c>
      <c r="C5" s="32" t="s">
        <v>19</v>
      </c>
      <c r="D5" s="32" t="s">
        <v>20</v>
      </c>
      <c r="E5" s="32" t="s">
        <v>21</v>
      </c>
      <c r="F5" s="31" t="s">
        <v>22</v>
      </c>
      <c r="I5" s="36" t="s">
        <v>23</v>
      </c>
      <c r="J5" s="36">
        <f>B12-B6</f>
        <v>0.30700000000000005</v>
      </c>
      <c r="K5" s="59">
        <f>E12-E6</f>
        <v>1004.8794047211768</v>
      </c>
      <c r="L5" s="38">
        <f>K5/J5</f>
        <v>3273.222816681357</v>
      </c>
      <c r="O5" s="36" t="s">
        <v>23</v>
      </c>
      <c r="P5" s="42">
        <f>P43-O43</f>
        <v>0.25457506411127984</v>
      </c>
      <c r="Q5" s="69">
        <v>1004.8794047211768</v>
      </c>
      <c r="R5" s="38">
        <f>Q5/P5</f>
        <v>3947.2813577763609</v>
      </c>
    </row>
    <row r="6" spans="1:18" x14ac:dyDescent="0.35">
      <c r="A6" s="31" t="s">
        <v>23</v>
      </c>
      <c r="B6" s="32">
        <v>0.61</v>
      </c>
      <c r="C6" s="32">
        <v>1318</v>
      </c>
      <c r="D6" s="32">
        <v>2158</v>
      </c>
      <c r="E6" s="33">
        <v>1369.6288060212109</v>
      </c>
      <c r="F6" s="34">
        <v>2242.5333561409511</v>
      </c>
      <c r="I6" s="36" t="s">
        <v>24</v>
      </c>
      <c r="J6" s="36">
        <f>B13-B7</f>
        <v>6.9000000000000006E-2</v>
      </c>
      <c r="K6" s="59">
        <f>E13-E7</f>
        <v>1004.8794047211768</v>
      </c>
      <c r="L6" s="38">
        <f>K6/J6</f>
        <v>14563.469633640243</v>
      </c>
      <c r="O6" s="36" t="s">
        <v>24</v>
      </c>
      <c r="P6" s="42">
        <f>P44-O44</f>
        <v>4.7787802298253579E-2</v>
      </c>
      <c r="Q6" s="69">
        <v>1004.8794047211768</v>
      </c>
      <c r="R6" s="38">
        <f>Q6/P6</f>
        <v>21027.947643407333</v>
      </c>
    </row>
    <row r="7" spans="1:18" x14ac:dyDescent="0.35">
      <c r="A7" s="31" t="s">
        <v>24</v>
      </c>
      <c r="B7" s="32">
        <v>0.13</v>
      </c>
      <c r="C7" s="32">
        <v>1318</v>
      </c>
      <c r="D7" s="32">
        <v>9953</v>
      </c>
      <c r="E7" s="33">
        <v>1369.6288060212109</v>
      </c>
      <c r="F7" s="34">
        <v>10342.879746835442</v>
      </c>
      <c r="I7" s="36" t="s">
        <v>26</v>
      </c>
      <c r="J7" s="36">
        <f>B14-B8</f>
        <v>0.15100000000000002</v>
      </c>
      <c r="K7" s="59">
        <f>E14-E8</f>
        <v>1004.8794047211768</v>
      </c>
      <c r="L7" s="38">
        <f>K7/J7</f>
        <v>6654.8304948422292</v>
      </c>
      <c r="O7" s="36" t="s">
        <v>26</v>
      </c>
      <c r="P7" s="42">
        <f>P45-O45</f>
        <v>6.109428807976558E-2</v>
      </c>
      <c r="Q7" s="69">
        <v>1004.8794047211768</v>
      </c>
      <c r="R7" s="38">
        <f>Q7/P7</f>
        <v>16448.009074255711</v>
      </c>
    </row>
    <row r="8" spans="1:18" x14ac:dyDescent="0.35">
      <c r="A8" s="31" t="s">
        <v>26</v>
      </c>
      <c r="B8" s="32">
        <v>0.3</v>
      </c>
      <c r="C8" s="32">
        <v>1318</v>
      </c>
      <c r="D8" s="32">
        <v>4380</v>
      </c>
      <c r="E8" s="33">
        <v>1369.6288060212109</v>
      </c>
      <c r="F8" s="34">
        <v>4551.5737256243583</v>
      </c>
      <c r="I8" s="36"/>
      <c r="J8" s="36"/>
      <c r="K8" s="36"/>
      <c r="L8" s="36"/>
      <c r="O8" s="71"/>
      <c r="P8" s="71"/>
      <c r="Q8" s="71"/>
      <c r="R8" s="71"/>
    </row>
    <row r="9" spans="1:18" ht="101.5" x14ac:dyDescent="0.35">
      <c r="A9" s="32" t="s">
        <v>27</v>
      </c>
      <c r="B9" s="32" t="s">
        <v>16</v>
      </c>
      <c r="C9" s="32" t="s">
        <v>81</v>
      </c>
      <c r="E9" s="33"/>
      <c r="F9" s="33" t="s">
        <v>28</v>
      </c>
      <c r="I9" s="36"/>
      <c r="J9" s="36"/>
      <c r="K9" s="36"/>
      <c r="L9" s="36"/>
      <c r="O9" s="78"/>
      <c r="P9" s="78"/>
      <c r="Q9" s="78"/>
      <c r="R9" s="78"/>
    </row>
    <row r="10" spans="1:18" x14ac:dyDescent="0.35">
      <c r="A10" s="15" t="s">
        <v>79</v>
      </c>
      <c r="I10" s="86" t="s">
        <v>88</v>
      </c>
      <c r="J10" s="86"/>
      <c r="K10" s="86"/>
      <c r="L10" s="86"/>
      <c r="M10" s="35"/>
      <c r="O10" s="87" t="s">
        <v>89</v>
      </c>
      <c r="P10" s="88"/>
      <c r="Q10" s="88"/>
      <c r="R10" s="89"/>
    </row>
    <row r="11" spans="1:18" ht="44" customHeight="1" x14ac:dyDescent="0.35">
      <c r="A11" s="31" t="s">
        <v>4</v>
      </c>
      <c r="B11" s="32" t="s">
        <v>18</v>
      </c>
      <c r="C11" s="32" t="s">
        <v>19</v>
      </c>
      <c r="D11" s="32" t="s">
        <v>20</v>
      </c>
      <c r="E11" s="33" t="s">
        <v>21</v>
      </c>
      <c r="F11" s="34" t="s">
        <v>22</v>
      </c>
      <c r="I11" s="39" t="s">
        <v>87</v>
      </c>
      <c r="J11" s="40" t="s">
        <v>84</v>
      </c>
      <c r="K11" s="40" t="s">
        <v>85</v>
      </c>
      <c r="L11" s="40" t="s">
        <v>86</v>
      </c>
      <c r="O11" s="70" t="s">
        <v>87</v>
      </c>
      <c r="P11" s="40" t="s">
        <v>84</v>
      </c>
      <c r="Q11" s="40" t="s">
        <v>85</v>
      </c>
      <c r="R11" s="40" t="s">
        <v>86</v>
      </c>
    </row>
    <row r="12" spans="1:18" x14ac:dyDescent="0.35">
      <c r="A12" s="31" t="s">
        <v>35</v>
      </c>
      <c r="B12" s="32">
        <v>0.91700000000000004</v>
      </c>
      <c r="C12" s="32">
        <v>2285</v>
      </c>
      <c r="D12" s="32">
        <v>2494</v>
      </c>
      <c r="E12" s="33">
        <v>2374.5082107423877</v>
      </c>
      <c r="F12" s="34">
        <v>2591.6951761888472</v>
      </c>
      <c r="I12" s="36" t="s">
        <v>23</v>
      </c>
      <c r="J12" s="36">
        <f>B17-B12</f>
        <v>0.30499999999999994</v>
      </c>
      <c r="K12" s="59">
        <f>E17-E12</f>
        <v>2010.7979815258295</v>
      </c>
      <c r="L12" s="38">
        <f>K12/J12</f>
        <v>6592.7802672978032</v>
      </c>
      <c r="O12" s="36" t="s">
        <v>23</v>
      </c>
      <c r="P12" s="42">
        <f>Q43-P43</f>
        <v>0.25457506411128006</v>
      </c>
      <c r="Q12" s="69">
        <v>2010.7979815258295</v>
      </c>
      <c r="R12" s="38">
        <f>Q12/P12</f>
        <v>7898.6447024790605</v>
      </c>
    </row>
    <row r="13" spans="1:18" x14ac:dyDescent="0.35">
      <c r="A13" s="31" t="s">
        <v>24</v>
      </c>
      <c r="B13" s="32">
        <v>0.19900000000000001</v>
      </c>
      <c r="C13" s="32">
        <v>2285</v>
      </c>
      <c r="D13" s="32">
        <v>11503</v>
      </c>
      <c r="E13" s="33">
        <v>2374.5082107423877</v>
      </c>
      <c r="F13" s="34">
        <v>11953.596476223058</v>
      </c>
      <c r="I13" s="36" t="s">
        <v>24</v>
      </c>
      <c r="J13" s="36">
        <f>B18-B13</f>
        <v>6.6000000000000003E-2</v>
      </c>
      <c r="K13" s="59">
        <f>E18-E13</f>
        <v>2010.7979815258295</v>
      </c>
      <c r="L13" s="38">
        <f>K13/J13</f>
        <v>30466.636083724687</v>
      </c>
      <c r="O13" s="36" t="s">
        <v>24</v>
      </c>
      <c r="P13" s="42">
        <f>Q44-P44</f>
        <v>4.7787802298253634E-2</v>
      </c>
      <c r="Q13" s="69">
        <v>2010.7979815258295</v>
      </c>
      <c r="R13" s="38">
        <f>Q13/P13</f>
        <v>42077.640837635096</v>
      </c>
    </row>
    <row r="14" spans="1:18" x14ac:dyDescent="0.35">
      <c r="A14" s="31" t="s">
        <v>36</v>
      </c>
      <c r="B14" s="32">
        <v>0.45100000000000001</v>
      </c>
      <c r="C14" s="32">
        <v>2285</v>
      </c>
      <c r="D14" s="32">
        <v>5062</v>
      </c>
      <c r="E14" s="33">
        <v>2374.5082107423877</v>
      </c>
      <c r="F14" s="34">
        <v>5260.2890865549089</v>
      </c>
      <c r="I14" s="36" t="s">
        <v>26</v>
      </c>
      <c r="J14" s="36">
        <f>B19-B14</f>
        <v>0.15099999999999997</v>
      </c>
      <c r="K14" s="59">
        <f>E19-E14</f>
        <v>2010.7979815258295</v>
      </c>
      <c r="L14" s="38">
        <f>K14/J14</f>
        <v>13316.542924012119</v>
      </c>
      <c r="O14" s="36" t="s">
        <v>26</v>
      </c>
      <c r="P14" s="42">
        <f>Q45-P45</f>
        <v>6.1094288079765635E-2</v>
      </c>
      <c r="Q14" s="69">
        <v>2010.7979815258295</v>
      </c>
      <c r="R14" s="38">
        <f>Q14/P14</f>
        <v>32913.027465030791</v>
      </c>
    </row>
    <row r="15" spans="1:18" ht="43.5" x14ac:dyDescent="0.35">
      <c r="A15" s="32" t="s">
        <v>37</v>
      </c>
      <c r="B15" s="32" t="s">
        <v>16</v>
      </c>
      <c r="C15" s="32" t="s">
        <v>82</v>
      </c>
      <c r="E15" s="33"/>
      <c r="F15" s="33" t="s">
        <v>17</v>
      </c>
      <c r="I15" s="43"/>
      <c r="J15" s="43"/>
      <c r="K15" s="43"/>
      <c r="L15" s="48"/>
      <c r="O15" s="75"/>
      <c r="P15" s="76"/>
      <c r="Q15" s="75"/>
      <c r="R15" s="77"/>
    </row>
    <row r="16" spans="1:18" ht="19" customHeight="1" x14ac:dyDescent="0.35">
      <c r="A16" s="31" t="s">
        <v>4</v>
      </c>
      <c r="B16" s="32" t="s">
        <v>18</v>
      </c>
      <c r="C16" s="32" t="s">
        <v>19</v>
      </c>
      <c r="D16" s="32" t="s">
        <v>20</v>
      </c>
      <c r="E16" s="33" t="s">
        <v>21</v>
      </c>
      <c r="F16" s="34" t="s">
        <v>22</v>
      </c>
      <c r="I16" s="86" t="s">
        <v>88</v>
      </c>
      <c r="J16" s="86"/>
      <c r="K16" s="86"/>
      <c r="L16" s="86"/>
      <c r="O16" s="87" t="s">
        <v>89</v>
      </c>
      <c r="P16" s="88"/>
      <c r="Q16" s="88"/>
      <c r="R16" s="89"/>
    </row>
    <row r="17" spans="1:18" ht="42" customHeight="1" x14ac:dyDescent="0.35">
      <c r="A17" s="31" t="s">
        <v>23</v>
      </c>
      <c r="B17" s="32">
        <v>1.222</v>
      </c>
      <c r="C17" s="32">
        <v>4220</v>
      </c>
      <c r="D17" s="32">
        <v>3453</v>
      </c>
      <c r="E17" s="33">
        <v>4385.3061922682173</v>
      </c>
      <c r="F17" s="34">
        <v>3588.2612042422165</v>
      </c>
      <c r="I17" s="39" t="s">
        <v>95</v>
      </c>
      <c r="J17" s="40" t="s">
        <v>84</v>
      </c>
      <c r="K17" s="40" t="s">
        <v>85</v>
      </c>
      <c r="L17" s="40" t="s">
        <v>86</v>
      </c>
      <c r="O17" s="70" t="s">
        <v>95</v>
      </c>
      <c r="P17" s="40" t="s">
        <v>84</v>
      </c>
      <c r="Q17" s="40" t="s">
        <v>85</v>
      </c>
      <c r="R17" s="40" t="s">
        <v>86</v>
      </c>
    </row>
    <row r="18" spans="1:18" x14ac:dyDescent="0.35">
      <c r="A18" s="31" t="s">
        <v>24</v>
      </c>
      <c r="B18" s="32">
        <v>0.26500000000000001</v>
      </c>
      <c r="C18" s="32">
        <v>4220</v>
      </c>
      <c r="D18" s="32">
        <v>15929</v>
      </c>
      <c r="E18" s="33">
        <v>4385.3061922682173</v>
      </c>
      <c r="F18" s="34">
        <v>16552.972117687306</v>
      </c>
      <c r="I18" s="36" t="s">
        <v>23</v>
      </c>
      <c r="J18" s="42">
        <f>B24-B6</f>
        <v>0.76475000000000015</v>
      </c>
      <c r="K18" s="38">
        <f>E24-E6</f>
        <v>11786.289770783442</v>
      </c>
      <c r="L18" s="38">
        <f>K18/J18</f>
        <v>15411.951318448433</v>
      </c>
      <c r="O18" s="36" t="s">
        <v>23</v>
      </c>
      <c r="P18" s="42">
        <f>R43-O43</f>
        <v>0.63643766027819981</v>
      </c>
      <c r="Q18" s="38">
        <v>11786.289770783442</v>
      </c>
      <c r="R18" s="38">
        <f>Q18/P18</f>
        <v>18519.158287445491</v>
      </c>
    </row>
    <row r="19" spans="1:18" x14ac:dyDescent="0.35">
      <c r="A19" s="31" t="s">
        <v>26</v>
      </c>
      <c r="B19" s="32">
        <v>0.60199999999999998</v>
      </c>
      <c r="C19" s="32">
        <v>4220</v>
      </c>
      <c r="D19" s="32">
        <v>7010</v>
      </c>
      <c r="E19" s="33">
        <v>4385.3061922682173</v>
      </c>
      <c r="F19" s="34">
        <v>7284.5963051659255</v>
      </c>
      <c r="I19" s="36" t="s">
        <v>24</v>
      </c>
      <c r="J19" s="42">
        <f>B25-B7</f>
        <v>0.16812500000000002</v>
      </c>
      <c r="K19" s="38">
        <v>11786.289770783442</v>
      </c>
      <c r="L19" s="38">
        <f t="shared" ref="L19:L20" si="0">K19/J19</f>
        <v>70104.325774176599</v>
      </c>
      <c r="O19" s="36" t="s">
        <v>24</v>
      </c>
      <c r="P19" s="42">
        <f>R44-O44</f>
        <v>0.119469505745634</v>
      </c>
      <c r="Q19" s="38">
        <v>11786.289770783442</v>
      </c>
      <c r="R19" s="38">
        <f t="shared" ref="R19:R20" si="1">Q19/P19</f>
        <v>98655.214962368511</v>
      </c>
    </row>
    <row r="20" spans="1:18" x14ac:dyDescent="0.35">
      <c r="I20" s="36" t="s">
        <v>26</v>
      </c>
      <c r="J20" s="42">
        <f>B26-B8</f>
        <v>0.37724999999999992</v>
      </c>
      <c r="K20" s="38">
        <v>11786.289770783442</v>
      </c>
      <c r="L20" s="38">
        <f t="shared" si="0"/>
        <v>31242.650154495546</v>
      </c>
      <c r="O20" s="36" t="s">
        <v>26</v>
      </c>
      <c r="P20" s="42">
        <f>R45-O45</f>
        <v>0.152735720199414</v>
      </c>
      <c r="Q20" s="38">
        <v>11786.289770783442</v>
      </c>
      <c r="R20" s="38">
        <f t="shared" si="1"/>
        <v>77167.867185194715</v>
      </c>
    </row>
    <row r="21" spans="1:18" ht="43.5" x14ac:dyDescent="0.35">
      <c r="A21" s="32" t="s">
        <v>97</v>
      </c>
      <c r="B21" s="32" t="s">
        <v>16</v>
      </c>
      <c r="C21" s="32" t="s">
        <v>82</v>
      </c>
      <c r="E21" s="33"/>
      <c r="F21" s="33" t="s">
        <v>17</v>
      </c>
      <c r="I21" s="43"/>
      <c r="J21" s="49"/>
      <c r="K21" s="48"/>
      <c r="L21" s="48"/>
      <c r="O21" s="43"/>
      <c r="P21" s="49"/>
      <c r="Q21" s="48"/>
      <c r="R21" s="48"/>
    </row>
    <row r="22" spans="1:18" ht="17.5" customHeight="1" x14ac:dyDescent="0.35">
      <c r="A22" s="31" t="s">
        <v>4</v>
      </c>
      <c r="B22" s="32" t="s">
        <v>18</v>
      </c>
      <c r="C22" s="32" t="s">
        <v>19</v>
      </c>
      <c r="D22" s="32" t="s">
        <v>20</v>
      </c>
      <c r="E22" s="33" t="s">
        <v>21</v>
      </c>
      <c r="F22" s="34" t="s">
        <v>22</v>
      </c>
      <c r="I22" s="86" t="s">
        <v>88</v>
      </c>
      <c r="J22" s="86"/>
      <c r="K22" s="86"/>
      <c r="L22" s="86"/>
      <c r="O22" s="87" t="s">
        <v>89</v>
      </c>
      <c r="P22" s="88"/>
      <c r="Q22" s="88"/>
      <c r="R22" s="89"/>
    </row>
    <row r="23" spans="1:18" ht="46" customHeight="1" x14ac:dyDescent="0.35">
      <c r="A23" s="31" t="s">
        <v>4</v>
      </c>
      <c r="B23" s="32" t="s">
        <v>18</v>
      </c>
      <c r="C23" s="32" t="s">
        <v>19</v>
      </c>
      <c r="D23" s="32" t="s">
        <v>20</v>
      </c>
      <c r="E23" s="33" t="s">
        <v>21</v>
      </c>
      <c r="F23" s="34" t="s">
        <v>22</v>
      </c>
      <c r="I23" s="39" t="s">
        <v>96</v>
      </c>
      <c r="J23" s="40" t="s">
        <v>84</v>
      </c>
      <c r="K23" s="40" t="s">
        <v>85</v>
      </c>
      <c r="L23" s="40" t="s">
        <v>86</v>
      </c>
      <c r="O23" s="70" t="s">
        <v>96</v>
      </c>
      <c r="P23" s="40" t="s">
        <v>84</v>
      </c>
      <c r="Q23" s="40" t="s">
        <v>85</v>
      </c>
      <c r="R23" s="40" t="s">
        <v>86</v>
      </c>
    </row>
    <row r="24" spans="1:18" x14ac:dyDescent="0.35">
      <c r="A24" s="31" t="s">
        <v>23</v>
      </c>
      <c r="B24" s="45">
        <f>B17*0.9/0.8</f>
        <v>1.3747500000000001</v>
      </c>
      <c r="C24" s="44">
        <f>C17*3</f>
        <v>12660</v>
      </c>
      <c r="D24" s="44">
        <f>C24/B24</f>
        <v>9208.9470812875061</v>
      </c>
      <c r="E24" s="44">
        <f>C24*D30/B30</f>
        <v>13155.918576804652</v>
      </c>
      <c r="F24" s="46">
        <f>E24/B24</f>
        <v>9569.6807250806687</v>
      </c>
      <c r="I24" s="36" t="s">
        <v>23</v>
      </c>
      <c r="J24" s="42">
        <f>B24-B12</f>
        <v>0.4577500000000001</v>
      </c>
      <c r="K24" s="38">
        <f>E24-E12</f>
        <v>10781.410366062264</v>
      </c>
      <c r="L24" s="47">
        <f>K24/J24</f>
        <v>23553.053776214663</v>
      </c>
      <c r="O24" s="36" t="s">
        <v>23</v>
      </c>
      <c r="P24" s="42">
        <f>R43-P43</f>
        <v>0.38186259616691998</v>
      </c>
      <c r="Q24" s="38">
        <v>10781.410366062264</v>
      </c>
      <c r="R24" s="38">
        <f>Q24/P24</f>
        <v>28233.742907224903</v>
      </c>
    </row>
    <row r="25" spans="1:18" x14ac:dyDescent="0.35">
      <c r="A25" s="31" t="s">
        <v>24</v>
      </c>
      <c r="B25" s="45">
        <f>B18*0.9/0.8</f>
        <v>0.29812500000000003</v>
      </c>
      <c r="C25" s="44">
        <f>C18*3</f>
        <v>12660</v>
      </c>
      <c r="D25" s="44">
        <f t="shared" ref="D25:D26" si="2">C25/B25</f>
        <v>42465.408805031446</v>
      </c>
      <c r="E25" s="44">
        <v>13155.918576804652</v>
      </c>
      <c r="F25" s="46">
        <f>E25/B25</f>
        <v>44128.867343579543</v>
      </c>
      <c r="I25" s="36" t="s">
        <v>24</v>
      </c>
      <c r="J25" s="42">
        <f>B25-B13</f>
        <v>9.9125000000000019E-2</v>
      </c>
      <c r="K25" s="38">
        <f>E25-E13</f>
        <v>10781.410366062264</v>
      </c>
      <c r="L25" s="47">
        <f t="shared" ref="L25:L26" si="3">K25/J25</f>
        <v>108765.80444955624</v>
      </c>
      <c r="O25" s="36" t="s">
        <v>24</v>
      </c>
      <c r="P25" s="42">
        <f>R44-P44</f>
        <v>7.1681703447380424E-2</v>
      </c>
      <c r="Q25" s="38">
        <v>10781.410366062264</v>
      </c>
      <c r="R25" s="38">
        <f t="shared" ref="R25:R26" si="4">Q25/P25</f>
        <v>150406.72650834257</v>
      </c>
    </row>
    <row r="26" spans="1:18" x14ac:dyDescent="0.35">
      <c r="A26" s="31" t="s">
        <v>26</v>
      </c>
      <c r="B26" s="45">
        <f>B19*0.9/0.8</f>
        <v>0.67724999999999991</v>
      </c>
      <c r="C26" s="44">
        <f>C19*3</f>
        <v>12660</v>
      </c>
      <c r="D26" s="44">
        <f t="shared" si="2"/>
        <v>18693.24473975637</v>
      </c>
      <c r="E26" s="44">
        <v>13155.918576804652</v>
      </c>
      <c r="F26" s="46">
        <f>E26/B26</f>
        <v>19425.498083137179</v>
      </c>
      <c r="I26" s="36" t="s">
        <v>26</v>
      </c>
      <c r="J26" s="42">
        <f>B26-B14</f>
        <v>0.2262499999999999</v>
      </c>
      <c r="K26" s="38">
        <f>E26-E14</f>
        <v>10781.410366062264</v>
      </c>
      <c r="L26" s="47">
        <f t="shared" si="3"/>
        <v>47652.642501932678</v>
      </c>
      <c r="O26" s="36" t="s">
        <v>26</v>
      </c>
      <c r="P26" s="42">
        <f>R45-P45</f>
        <v>9.1641432119648425E-2</v>
      </c>
      <c r="Q26" s="38">
        <v>10781.410366062264</v>
      </c>
      <c r="R26" s="38">
        <f t="shared" si="4"/>
        <v>117647.77259248735</v>
      </c>
    </row>
    <row r="27" spans="1:18" x14ac:dyDescent="0.35">
      <c r="I27" s="43"/>
      <c r="J27" s="43"/>
      <c r="K27" s="43"/>
      <c r="L27" s="43"/>
      <c r="O27" s="43"/>
      <c r="P27" s="43"/>
      <c r="Q27" s="48"/>
      <c r="R27" s="43"/>
    </row>
    <row r="28" spans="1:18" ht="17.5" customHeight="1" x14ac:dyDescent="0.35">
      <c r="A28" s="31" t="s">
        <v>4</v>
      </c>
      <c r="B28" s="32" t="s">
        <v>18</v>
      </c>
      <c r="C28" s="32" t="s">
        <v>19</v>
      </c>
      <c r="D28" s="32" t="s">
        <v>20</v>
      </c>
      <c r="E28" s="33" t="s">
        <v>21</v>
      </c>
      <c r="F28" s="34" t="s">
        <v>22</v>
      </c>
      <c r="I28" s="86" t="s">
        <v>88</v>
      </c>
      <c r="J28" s="86"/>
      <c r="K28" s="86"/>
      <c r="L28" s="86"/>
      <c r="O28" s="87" t="s">
        <v>89</v>
      </c>
      <c r="P28" s="88"/>
      <c r="Q28" s="88"/>
      <c r="R28" s="89"/>
    </row>
    <row r="29" spans="1:18" ht="44.5" customHeight="1" x14ac:dyDescent="0.35">
      <c r="A29" t="s">
        <v>45</v>
      </c>
      <c r="B29" s="37">
        <v>2012</v>
      </c>
      <c r="C29" s="37">
        <v>2013</v>
      </c>
      <c r="D29" s="14">
        <v>2019</v>
      </c>
      <c r="I29" s="39" t="s">
        <v>94</v>
      </c>
      <c r="J29" s="40" t="s">
        <v>84</v>
      </c>
      <c r="K29" s="40" t="s">
        <v>85</v>
      </c>
      <c r="L29" s="40" t="s">
        <v>86</v>
      </c>
      <c r="O29" s="70" t="s">
        <v>94</v>
      </c>
      <c r="P29" s="40" t="s">
        <v>84</v>
      </c>
      <c r="Q29" s="40" t="s">
        <v>85</v>
      </c>
      <c r="R29" s="40" t="s">
        <v>86</v>
      </c>
    </row>
    <row r="30" spans="1:18" x14ac:dyDescent="0.35">
      <c r="A30"/>
      <c r="B30" s="14">
        <v>584.6</v>
      </c>
      <c r="C30" s="14">
        <v>567.29999999999995</v>
      </c>
      <c r="D30" s="14">
        <v>607.5</v>
      </c>
      <c r="I30" s="36" t="s">
        <v>23</v>
      </c>
      <c r="J30" s="42">
        <f>B24-B17</f>
        <v>0.15275000000000016</v>
      </c>
      <c r="K30" s="38">
        <f>E24-E17</f>
        <v>8770.6123845364345</v>
      </c>
      <c r="L30" s="38">
        <f>K30/J30</f>
        <v>57418.084350483965</v>
      </c>
      <c r="O30" s="36" t="s">
        <v>23</v>
      </c>
      <c r="P30" s="42">
        <f>R43-Q43</f>
        <v>0.12728753205563992</v>
      </c>
      <c r="Q30" s="38">
        <v>8770.6123845364345</v>
      </c>
      <c r="R30" s="38">
        <f>Q30/P30</f>
        <v>68903.939316716627</v>
      </c>
    </row>
    <row r="31" spans="1:18" x14ac:dyDescent="0.35">
      <c r="I31" s="36" t="s">
        <v>24</v>
      </c>
      <c r="J31" s="42">
        <f>B25-B18</f>
        <v>3.3125000000000016E-2</v>
      </c>
      <c r="K31" s="38">
        <f>E25-E18</f>
        <v>8770.6123845364345</v>
      </c>
      <c r="L31" s="38">
        <f t="shared" ref="L31:L32" si="5">K31/J31</f>
        <v>264773.20406147715</v>
      </c>
      <c r="O31" s="36" t="s">
        <v>24</v>
      </c>
      <c r="P31" s="42">
        <f>R44-Q44</f>
        <v>2.3893901149126789E-2</v>
      </c>
      <c r="Q31" s="38">
        <v>8770.6123845364345</v>
      </c>
      <c r="R31" s="38">
        <f t="shared" ref="R31:R32" si="6">Q31/P31</f>
        <v>367064.89784975775</v>
      </c>
    </row>
    <row r="32" spans="1:18" x14ac:dyDescent="0.35">
      <c r="I32" s="36" t="s">
        <v>26</v>
      </c>
      <c r="J32" s="42">
        <f>B26-B19</f>
        <v>7.5249999999999928E-2</v>
      </c>
      <c r="K32" s="38">
        <f>E26-E19</f>
        <v>8770.6123845364345</v>
      </c>
      <c r="L32" s="38">
        <f t="shared" si="5"/>
        <v>116552.98849882316</v>
      </c>
      <c r="O32" s="36" t="s">
        <v>26</v>
      </c>
      <c r="P32" s="42">
        <f>R45-Q45</f>
        <v>3.054714403988279E-2</v>
      </c>
      <c r="Q32" s="38">
        <v>8770.6123845364345</v>
      </c>
      <c r="R32" s="38">
        <f t="shared" si="6"/>
        <v>287117.26284740062</v>
      </c>
    </row>
    <row r="33" spans="9:18" ht="15" thickBot="1" x14ac:dyDescent="0.4"/>
    <row r="34" spans="9:18" x14ac:dyDescent="0.35">
      <c r="I34" s="90" t="s">
        <v>88</v>
      </c>
      <c r="J34" s="91"/>
      <c r="K34" s="91"/>
      <c r="L34" s="92"/>
      <c r="O34" s="93" t="s">
        <v>89</v>
      </c>
      <c r="P34" s="94"/>
      <c r="Q34" s="94"/>
      <c r="R34" s="95"/>
    </row>
    <row r="35" spans="9:18" ht="58" x14ac:dyDescent="0.35">
      <c r="I35" s="56" t="s">
        <v>101</v>
      </c>
      <c r="J35" s="57" t="s">
        <v>84</v>
      </c>
      <c r="K35" s="57" t="s">
        <v>85</v>
      </c>
      <c r="L35" s="58" t="s">
        <v>86</v>
      </c>
      <c r="O35" s="74" t="s">
        <v>101</v>
      </c>
      <c r="P35" s="73" t="s">
        <v>84</v>
      </c>
      <c r="Q35" s="73" t="s">
        <v>85</v>
      </c>
      <c r="R35" s="72" t="s">
        <v>86</v>
      </c>
    </row>
    <row r="36" spans="9:18" x14ac:dyDescent="0.35">
      <c r="I36" s="51" t="s">
        <v>23</v>
      </c>
      <c r="J36" s="50">
        <f>B17-B6</f>
        <v>0.61199999999999999</v>
      </c>
      <c r="K36" s="67">
        <f>E17-E6</f>
        <v>3015.6773862470063</v>
      </c>
      <c r="L36" s="52">
        <f>K36/J36</f>
        <v>4927.5774285081807</v>
      </c>
      <c r="O36" s="51" t="s">
        <v>23</v>
      </c>
      <c r="P36" s="50">
        <f>Q43-O43</f>
        <v>0.50915012822255989</v>
      </c>
      <c r="Q36" s="67">
        <f>E17-E6</f>
        <v>3015.6773862470063</v>
      </c>
      <c r="R36" s="52">
        <f t="shared" ref="R36:R38" si="7">Q36/P36</f>
        <v>5922.963030127712</v>
      </c>
    </row>
    <row r="37" spans="9:18" x14ac:dyDescent="0.35">
      <c r="I37" s="51" t="s">
        <v>24</v>
      </c>
      <c r="J37" s="50">
        <f>B18-B7</f>
        <v>0.13500000000000001</v>
      </c>
      <c r="K37" s="67">
        <f>E18-E7</f>
        <v>3015.6773862470063</v>
      </c>
      <c r="L37" s="52">
        <f t="shared" ref="L37:L38" si="8">K37/J37</f>
        <v>22338.351009237082</v>
      </c>
      <c r="O37" s="51" t="s">
        <v>24</v>
      </c>
      <c r="P37" s="50">
        <f>Q44-O44</f>
        <v>9.5575604596507213E-2</v>
      </c>
      <c r="Q37" s="67">
        <f>E18-E7</f>
        <v>3015.6773862470063</v>
      </c>
      <c r="R37" s="52">
        <f t="shared" si="7"/>
        <v>31552.79424052122</v>
      </c>
    </row>
    <row r="38" spans="9:18" ht="15" thickBot="1" x14ac:dyDescent="0.4">
      <c r="I38" s="53" t="s">
        <v>99</v>
      </c>
      <c r="J38" s="54">
        <f>B19-B8</f>
        <v>0.30199999999999999</v>
      </c>
      <c r="K38" s="68">
        <f>E19-E8</f>
        <v>3015.6773862470063</v>
      </c>
      <c r="L38" s="55">
        <f t="shared" si="8"/>
        <v>9985.6867094271729</v>
      </c>
      <c r="O38" s="53" t="s">
        <v>99</v>
      </c>
      <c r="P38" s="54">
        <f>Q45-O45</f>
        <v>0.12218857615953121</v>
      </c>
      <c r="Q38" s="68">
        <f>E19-E8</f>
        <v>3015.6773862470063</v>
      </c>
      <c r="R38" s="55">
        <f t="shared" si="7"/>
        <v>24680.518269643253</v>
      </c>
    </row>
    <row r="39" spans="9:18" ht="15" thickBot="1" x14ac:dyDescent="0.4">
      <c r="I39"/>
      <c r="J39"/>
      <c r="K39"/>
      <c r="L39"/>
    </row>
    <row r="40" spans="9:18" x14ac:dyDescent="0.35">
      <c r="N40" s="60"/>
      <c r="O40" s="61" t="s">
        <v>102</v>
      </c>
      <c r="P40" s="61"/>
      <c r="Q40" s="61"/>
      <c r="R40" s="62"/>
    </row>
    <row r="41" spans="9:18" ht="50.5" customHeight="1" x14ac:dyDescent="0.35">
      <c r="N41" s="51"/>
      <c r="O41" s="36" t="s">
        <v>68</v>
      </c>
      <c r="P41" s="36" t="s">
        <v>90</v>
      </c>
      <c r="Q41" s="36" t="s">
        <v>13</v>
      </c>
      <c r="R41" s="63" t="s">
        <v>93</v>
      </c>
    </row>
    <row r="42" spans="9:18" x14ac:dyDescent="0.35">
      <c r="N42" s="51"/>
      <c r="O42" s="36">
        <v>0.4</v>
      </c>
      <c r="P42" s="36">
        <v>0.6</v>
      </c>
      <c r="Q42" s="36">
        <v>0.8</v>
      </c>
      <c r="R42" s="63">
        <v>0.9</v>
      </c>
    </row>
    <row r="43" spans="9:18" x14ac:dyDescent="0.35">
      <c r="N43" s="51" t="s">
        <v>91</v>
      </c>
      <c r="O43" s="42">
        <v>0.50915012822255989</v>
      </c>
      <c r="P43" s="42">
        <v>0.76372519233383973</v>
      </c>
      <c r="Q43" s="42">
        <v>1.0183002564451198</v>
      </c>
      <c r="R43" s="64">
        <f>R42/Q42*Q43</f>
        <v>1.1455877885007597</v>
      </c>
    </row>
    <row r="44" spans="9:18" x14ac:dyDescent="0.35">
      <c r="N44" s="51" t="s">
        <v>92</v>
      </c>
      <c r="O44" s="42">
        <v>9.5575604596507213E-2</v>
      </c>
      <c r="P44" s="42">
        <v>0.14336340689476079</v>
      </c>
      <c r="Q44" s="42">
        <v>0.19115120919301443</v>
      </c>
      <c r="R44" s="64">
        <v>0.21504511034214122</v>
      </c>
    </row>
    <row r="45" spans="9:18" ht="15" thickBot="1" x14ac:dyDescent="0.4">
      <c r="N45" s="53" t="s">
        <v>100</v>
      </c>
      <c r="O45" s="65">
        <v>0.12218857615953121</v>
      </c>
      <c r="P45" s="65">
        <v>0.18328286423929679</v>
      </c>
      <c r="Q45" s="65">
        <v>0.24437715231906243</v>
      </c>
      <c r="R45" s="66">
        <v>0.27492429635894522</v>
      </c>
    </row>
  </sheetData>
  <mergeCells count="13">
    <mergeCell ref="A1:F1"/>
    <mergeCell ref="I16:L16"/>
    <mergeCell ref="O3:R3"/>
    <mergeCell ref="O16:R16"/>
    <mergeCell ref="I34:L34"/>
    <mergeCell ref="O34:R34"/>
    <mergeCell ref="I3:L3"/>
    <mergeCell ref="I10:L10"/>
    <mergeCell ref="O10:R10"/>
    <mergeCell ref="I28:L28"/>
    <mergeCell ref="O28:R28"/>
    <mergeCell ref="I22:L22"/>
    <mergeCell ref="O22:R2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D754BDE3783254381DB48B7D0CF53F3" ma:contentTypeVersion="10" ma:contentTypeDescription="Create a new document." ma:contentTypeScope="" ma:versionID="13409b72c7483f10f84aaeaa40a6f3aa">
  <xsd:schema xmlns:xsd="http://www.w3.org/2001/XMLSchema" xmlns:xs="http://www.w3.org/2001/XMLSchema" xmlns:p="http://schemas.microsoft.com/office/2006/metadata/properties" xmlns:ns2="1dd60403-c00a-4cfb-aa31-eeaa376e74df" targetNamespace="http://schemas.microsoft.com/office/2006/metadata/properties" ma:root="true" ma:fieldsID="a48eda311cdda0853a42fb9c75c59eb9" ns2:_="">
    <xsd:import namespace="1dd60403-c00a-4cfb-aa31-eeaa376e74d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DateTaken"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d60403-c00a-4cfb-aa31-eeaa376e74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BACE40C-2BBA-4CF3-BD1C-0684227DC02A}"/>
</file>

<file path=customXml/itemProps2.xml><?xml version="1.0" encoding="utf-8"?>
<ds:datastoreItem xmlns:ds="http://schemas.openxmlformats.org/officeDocument/2006/customXml" ds:itemID="{45889F58-2587-4E45-9F2A-A6F9CE3B220A}"/>
</file>

<file path=customXml/itemProps3.xml><?xml version="1.0" encoding="utf-8"?>
<ds:datastoreItem xmlns:ds="http://schemas.openxmlformats.org/officeDocument/2006/customXml" ds:itemID="{6F0FADA4-333A-4472-AEF2-CD5A63104C3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Well Site Analysis</vt:lpstr>
      <vt:lpstr>Incremental Cost Analysis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Smitherman</dc:creator>
  <cp:lastModifiedBy>Brandon Curtis</cp:lastModifiedBy>
  <dcterms:created xsi:type="dcterms:W3CDTF">2021-07-22T19:22:07Z</dcterms:created>
  <dcterms:modified xsi:type="dcterms:W3CDTF">2021-09-23T18:54:54Z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0x0101009D754BDE3783254381DB48B7D0CF53F3</vt:lpwstr>
  </property>
</Properties>
</file>