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nmgov.sharepoint.com/sites/ENV-CTFP/Shared Documents/OUTRCH/WBST/Assets/Calculators + Estimators/EV charging/"/>
    </mc:Choice>
  </mc:AlternateContent>
  <xr:revisionPtr revIDLastSave="507" documentId="8_{D99D917B-97AE-4273-AF61-0F2D976BDD44}" xr6:coauthVersionLast="47" xr6:coauthVersionMax="47" xr10:uidLastSave="{0CCF6FA7-0931-4AA7-BA1C-BCDA72524AA3}"/>
  <bookViews>
    <workbookView xWindow="-108" yWindow="-108" windowWidth="23256" windowHeight="13896" xr2:uid="{00000000-000D-0000-FFFF-FFFF00000000}"/>
  </bookViews>
  <sheets>
    <sheet name="Start here" sheetId="10" r:id="rId1"/>
    <sheet name="Calculator" sheetId="2" r:id="rId2"/>
    <sheet name="(A) Capacity and Use" sheetId="3" r:id="rId3"/>
    <sheet name="(B) CI Standard" sheetId="4" r:id="rId4"/>
    <sheet name="(C) StatewideGridAvg" sheetId="11" r:id="rId5"/>
    <sheet name="(D) EDU CI Values" sheetId="6" r:id="rId6"/>
    <sheet name="(E) StatewideChange" sheetId="5" r:id="rId7"/>
    <sheet name="(F) Credit Price_nom" sheetId="7" r:id="rId8"/>
    <sheet name="(G) Inflation" sheetId="8" r:id="rId9"/>
    <sheet name="(H) OptionLists" sheetId="9" r:id="rId10"/>
  </sheets>
  <externalReferences>
    <externalReference r:id="rId11"/>
  </externalReferences>
  <definedNames>
    <definedName name="AnnualCIchange">'(H) OptionLists'!$H$5:$H$8</definedName>
    <definedName name="Capacity__DCFC" localSheetId="0">'[1](A) Capacity and Use'!$B$5:$B$8</definedName>
    <definedName name="Capacity__DCFC">'(A) Capacity and Use'!$C$5:$C$8</definedName>
    <definedName name="Capacity__Level2" localSheetId="0">'[1](A) Capacity and Use'!$A$5:$A$8</definedName>
    <definedName name="Capacity__Level2">'(A) Capacity and Use'!$B$5:$B$8</definedName>
    <definedName name="DailyUse__DCFC" localSheetId="0">'[1](A) Capacity and Use'!$D$5:$D$8</definedName>
    <definedName name="DailyUse__DCFC">'(A) Capacity and Use'!$E$5:$E$8</definedName>
    <definedName name="DailyUse__Level2" localSheetId="0">'[1](A) Capacity and Use'!$C$5:$C$8</definedName>
    <definedName name="DailyUse__Level2">'(A) Capacity and Use'!$D$5:$D$8</definedName>
    <definedName name="EDU_CI_Lookup">'(H) OptionLists'!$F$5:$G$15</definedName>
    <definedName name="GridCIMulti" localSheetId="0">'[1](H) OptionLists'!$B$6:$B$9</definedName>
    <definedName name="GridCIMulti">'(H) OptionLists'!$C$5:$C$15</definedName>
    <definedName name="GridCISingle" localSheetId="0">'[1](H) OptionLists'!$A$6:$A$8</definedName>
    <definedName name="GridCISingle">'(H) OptionLists'!$B$5:$B$14</definedName>
    <definedName name="Inflation" localSheetId="0">'[1](G) Inflation'!$A$5:$A$9</definedName>
    <definedName name="Inflation">'(G) Inflation'!$B$5:$B$9</definedName>
    <definedName name="NoInflation" localSheetId="0">'[1](G) Inflation'!$A$22</definedName>
    <definedName name="NoInflation">'(G) Inflation'!$B$20</definedName>
    <definedName name="NoManualChange">'(H) OptionLists'!$H$9</definedName>
    <definedName name="PricesMulti" localSheetId="0">'[1](H) OptionLists'!$E$6:$E$9</definedName>
    <definedName name="PricesMulti">'(H) OptionLists'!$E$5:$E$8</definedName>
    <definedName name="PricesSingle" localSheetId="0">'[1](H) OptionLists'!$D$6:$D$8</definedName>
    <definedName name="PricesSingle">'(H) OptionLists'!$D$5:$D$7</definedName>
    <definedName name="SingleYear">'(B) CI Standard'!$B$21</definedName>
    <definedName name="StateGridAvg_2026">'(C) StatewideGridAvg'!$D$25</definedName>
    <definedName name="Years" localSheetId="0">'[1](B) CI Standard'!$A$5:$A$19</definedName>
    <definedName name="Years">'(B) CI Standard'!$B$5:$B$19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6" i="8" l="1"/>
  <c r="Q16" i="8" s="1"/>
  <c r="R16" i="8" s="1"/>
  <c r="P15" i="8"/>
  <c r="Q15" i="8" s="1"/>
  <c r="R15" i="8" s="1"/>
  <c r="P14" i="8"/>
  <c r="Q14" i="8" s="1"/>
  <c r="R14" i="8" s="1"/>
  <c r="P13" i="8"/>
  <c r="Q13" i="8" s="1"/>
  <c r="R13" i="8" s="1"/>
  <c r="P12" i="8"/>
  <c r="Q12" i="8" s="1"/>
  <c r="R12" i="8" s="1"/>
  <c r="P11" i="8"/>
  <c r="Q11" i="8" s="1"/>
  <c r="O16" i="8"/>
  <c r="O15" i="8"/>
  <c r="O14" i="8"/>
  <c r="O13" i="8"/>
  <c r="O12" i="8"/>
  <c r="O11" i="8"/>
  <c r="E21" i="2" a="1"/>
  <c r="E21" i="2" s="1"/>
  <c r="E20" i="2" a="1"/>
  <c r="E20" i="2" s="1"/>
  <c r="E19" i="2" a="1"/>
  <c r="E19" i="2" s="1"/>
  <c r="E18" i="2" a="1"/>
  <c r="E18" i="2" s="1"/>
  <c r="E17" i="2" a="1"/>
  <c r="E17" i="2" s="1"/>
  <c r="E16" i="2" a="1"/>
  <c r="E16" i="2" s="1"/>
  <c r="E15" i="2" a="1"/>
  <c r="E15" i="2" s="1"/>
  <c r="E14" i="2" a="1"/>
  <c r="E14" i="2" s="1"/>
  <c r="E13" i="2" a="1"/>
  <c r="E13" i="2" s="1"/>
  <c r="E12" i="2" a="1"/>
  <c r="E12" i="2" s="1"/>
  <c r="E11" i="2" a="1"/>
  <c r="E11" i="2" s="1"/>
  <c r="E10" i="2" a="1"/>
  <c r="E10" i="2" s="1"/>
  <c r="E9" i="2" a="1"/>
  <c r="E9" i="2" s="1"/>
  <c r="E8" i="2" a="1"/>
  <c r="E8" i="2" s="1"/>
  <c r="L6" i="2" l="1"/>
  <c r="K6" i="2"/>
  <c r="E7" i="2" l="1" a="1"/>
  <c r="E7" i="2" s="1"/>
  <c r="I7" i="2" s="1" a="1"/>
  <c r="I7" i="2" s="1"/>
  <c r="D5" i="11"/>
  <c r="D6" i="11"/>
  <c r="D7" i="11"/>
  <c r="D8" i="11"/>
  <c r="D9" i="11"/>
  <c r="D10" i="11"/>
  <c r="D11" i="11"/>
  <c r="D12" i="11"/>
  <c r="D13" i="11"/>
  <c r="D14" i="11"/>
  <c r="D16" i="11"/>
  <c r="D17" i="11"/>
  <c r="D19" i="11"/>
  <c r="D20" i="11"/>
  <c r="D21" i="11"/>
  <c r="D22" i="11"/>
  <c r="D23" i="11"/>
  <c r="D24" i="11"/>
  <c r="G7" i="2" l="1"/>
  <c r="F11" i="2"/>
  <c r="G11" i="2"/>
  <c r="F14" i="2"/>
  <c r="G14" i="2"/>
  <c r="G15" i="2"/>
  <c r="F15" i="2"/>
  <c r="G16" i="2"/>
  <c r="F16" i="2"/>
  <c r="G8" i="2"/>
  <c r="F8" i="2"/>
  <c r="G12" i="2"/>
  <c r="F12" i="2"/>
  <c r="G17" i="2"/>
  <c r="F17" i="2"/>
  <c r="G9" i="2"/>
  <c r="F9" i="2"/>
  <c r="F10" i="2"/>
  <c r="G10" i="2"/>
  <c r="G13" i="2"/>
  <c r="F13" i="2"/>
  <c r="F18" i="2"/>
  <c r="G18" i="2"/>
  <c r="G19" i="2"/>
  <c r="F19" i="2"/>
  <c r="F20" i="2"/>
  <c r="G20" i="2"/>
  <c r="G21" i="2"/>
  <c r="F21" i="2"/>
  <c r="F7" i="2"/>
  <c r="D25" i="11" a="1"/>
  <c r="D25" i="11" s="1"/>
  <c r="B21" i="7"/>
  <c r="B22" i="7" s="1"/>
  <c r="B23" i="7" s="1"/>
  <c r="B24" i="7" s="1"/>
  <c r="B25" i="7" s="1"/>
  <c r="B26" i="7" s="1"/>
  <c r="B27" i="7" s="1"/>
  <c r="B28" i="7" s="1"/>
  <c r="B29" i="7" s="1"/>
  <c r="B30" i="7" s="1"/>
  <c r="D5" i="7"/>
  <c r="E5" i="7" s="1"/>
  <c r="F5" i="7" s="1"/>
  <c r="G5" i="7" s="1"/>
  <c r="H5" i="7" s="1"/>
  <c r="I5" i="7" s="1"/>
  <c r="J5" i="7" s="1"/>
  <c r="K5" i="7" s="1"/>
  <c r="L5" i="7" s="1"/>
  <c r="M5" i="7" s="1"/>
  <c r="H16" i="2" l="1"/>
  <c r="H21" i="2"/>
  <c r="H15" i="2"/>
  <c r="H13" i="2"/>
  <c r="H8" i="2"/>
  <c r="H11" i="2"/>
  <c r="H12" i="2"/>
  <c r="H19" i="2"/>
  <c r="H17" i="2"/>
  <c r="H9" i="2"/>
  <c r="H20" i="2"/>
  <c r="H18" i="2"/>
  <c r="H14" i="2"/>
  <c r="H10" i="2"/>
  <c r="H7" i="2"/>
  <c r="C16" i="8"/>
  <c r="D16" i="8" s="1"/>
  <c r="E16" i="8" s="1"/>
  <c r="F16" i="8" s="1"/>
  <c r="G16" i="8" s="1"/>
  <c r="C15" i="8"/>
  <c r="D15" i="8" s="1"/>
  <c r="E15" i="8" s="1"/>
  <c r="F15" i="8" s="1"/>
  <c r="G15" i="8" s="1"/>
  <c r="C14" i="8"/>
  <c r="D14" i="8" s="1"/>
  <c r="E14" i="8" s="1"/>
  <c r="F14" i="8" s="1"/>
  <c r="G14" i="8" s="1"/>
  <c r="C13" i="8"/>
  <c r="D13" i="8" s="1"/>
  <c r="E13" i="8" s="1"/>
  <c r="F13" i="8" s="1"/>
  <c r="G13" i="8" s="1"/>
  <c r="C12" i="8"/>
  <c r="J11" i="8"/>
  <c r="K11" i="8" s="1"/>
  <c r="L11" i="8" s="1"/>
  <c r="M11" i="8" s="1"/>
  <c r="N11" i="8" s="1"/>
  <c r="N9" i="8"/>
  <c r="M9" i="8"/>
  <c r="L9" i="8"/>
  <c r="K9" i="8"/>
  <c r="J9" i="8"/>
  <c r="I9" i="8"/>
  <c r="H9" i="8"/>
  <c r="N8" i="8"/>
  <c r="M8" i="8"/>
  <c r="L8" i="8"/>
  <c r="K8" i="8"/>
  <c r="J8" i="8"/>
  <c r="I8" i="8"/>
  <c r="H8" i="8"/>
  <c r="N7" i="8"/>
  <c r="M7" i="8"/>
  <c r="L7" i="8"/>
  <c r="K7" i="8"/>
  <c r="J7" i="8"/>
  <c r="I7" i="8"/>
  <c r="H7" i="8"/>
  <c r="N6" i="8"/>
  <c r="M6" i="8"/>
  <c r="L6" i="8"/>
  <c r="K6" i="8"/>
  <c r="J6" i="8"/>
  <c r="I6" i="8"/>
  <c r="H6" i="8"/>
  <c r="N5" i="8"/>
  <c r="M5" i="8"/>
  <c r="L5" i="8"/>
  <c r="K5" i="8"/>
  <c r="J5" i="8"/>
  <c r="I5" i="8"/>
  <c r="H5" i="8"/>
  <c r="J4" i="8"/>
  <c r="K4" i="8" s="1"/>
  <c r="L4" i="8" s="1"/>
  <c r="M4" i="8" s="1"/>
  <c r="N4" i="8" s="1"/>
  <c r="I8" i="2" l="1"/>
  <c r="J8" i="2" s="1"/>
  <c r="I15" i="2"/>
  <c r="J15" i="2" s="1"/>
  <c r="I19" i="2"/>
  <c r="J19" i="2" s="1"/>
  <c r="I13" i="2"/>
  <c r="J13" i="2" s="1"/>
  <c r="I20" i="2"/>
  <c r="J20" i="2" s="1"/>
  <c r="I12" i="2"/>
  <c r="J12" i="2" s="1"/>
  <c r="I11" i="2"/>
  <c r="J11" i="2" s="1"/>
  <c r="I17" i="2"/>
  <c r="J17" i="2" s="1"/>
  <c r="I21" i="2"/>
  <c r="J21" i="2" s="1"/>
  <c r="I9" i="2"/>
  <c r="J9" i="2" s="1"/>
  <c r="I10" i="2"/>
  <c r="J10" i="2" s="1"/>
  <c r="I14" i="2"/>
  <c r="J14" i="2" s="1"/>
  <c r="I16" i="2"/>
  <c r="J16" i="2" s="1"/>
  <c r="I18" i="2"/>
  <c r="J18" i="2" s="1"/>
  <c r="D12" i="8"/>
  <c r="E12" i="8" s="1"/>
  <c r="F12" i="8" s="1"/>
  <c r="G12" i="8" s="1"/>
  <c r="H12" i="8" s="1"/>
  <c r="I12" i="8" s="1"/>
  <c r="J12" i="8" s="1"/>
  <c r="K12" i="8" s="1"/>
  <c r="L12" i="8" s="1"/>
  <c r="M12" i="8" s="1"/>
  <c r="N12" i="8" s="1"/>
  <c r="J7" i="2"/>
  <c r="H15" i="8"/>
  <c r="I15" i="8" s="1"/>
  <c r="J15" i="8" s="1"/>
  <c r="K15" i="8" s="1"/>
  <c r="L15" i="8" s="1"/>
  <c r="M15" i="8" s="1"/>
  <c r="N15" i="8" s="1"/>
  <c r="H14" i="8"/>
  <c r="I14" i="8" s="1"/>
  <c r="J14" i="8" s="1"/>
  <c r="K14" i="8" s="1"/>
  <c r="L14" i="8" s="1"/>
  <c r="M14" i="8" s="1"/>
  <c r="N14" i="8" s="1"/>
  <c r="H13" i="8"/>
  <c r="I13" i="8" s="1"/>
  <c r="J13" i="8" s="1"/>
  <c r="K13" i="8" s="1"/>
  <c r="L13" i="8" s="1"/>
  <c r="M13" i="8" s="1"/>
  <c r="N13" i="8" s="1"/>
  <c r="H16" i="8"/>
  <c r="I16" i="8" s="1"/>
  <c r="J16" i="8" s="1"/>
  <c r="K16" i="8" s="1"/>
  <c r="L16" i="8" s="1"/>
  <c r="M16" i="8" s="1"/>
  <c r="N16" i="8" s="1"/>
  <c r="J2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Ford, Michael, ENV</author>
  </authors>
  <commentList>
    <comment ref="B16" authorId="0" shapeId="0" xr:uid="{00000000-0006-0000-0100-000001000000}">
      <text>
        <r>
          <rPr>
            <sz val="11"/>
            <color theme="1"/>
            <rFont val="Calibri"/>
            <family val="2"/>
            <scheme val="minor"/>
          </rPr>
          <t>1. The "Statewide grid average" option uses a weighted average of EDU carbon intensities and the number of registered on-road EVs in each from Atlas Public Policy, EvaluateNM (Kumar, 2026).
2. You may select a published EDU-specific CI value directly in this cell (B16). Published CI values for New Mexico EDUs are available in the NM CTFP EDU CI Calculations document. The CI value is a fixed single value and does not vary by year. See the (D) EDU CI Values sheet for a reference list.
3. If you select "Manual (single CI)," enter your desired CI for grid electricity in Cell C16.
4. If you select "Manual (Different annual CIs)," enter the CI for each year in Column I.</t>
        </r>
      </text>
    </comment>
    <comment ref="B17" authorId="0" shapeId="0" xr:uid="{BE5BE7CF-0B90-496D-A8FF-EF0D4061B1DC}">
      <text>
        <r>
          <rPr>
            <sz val="11"/>
            <color theme="1"/>
            <rFont val="Calibri"/>
            <family val="2"/>
            <scheme val="minor"/>
          </rPr>
          <t xml:space="preserve">Note: If you have selected "Manual (Different annual CIs)" in Cell B16, you cannot make a selection in Cell B17 because the "Manual (Different annual CIs)" option requires a user input of the carbon intensity for each year in the orange-shaded cells in Column I.
1. "Statewide change" uses projections from the Benefits-Cost Analysis that account for reduced annual grid carbon intensity under the Energy Transition Act.
2. "Zero-carbon by 2040" adjusts carbon intensity based upon a linear path culminating in a grid carbon intensity of zero by 2040, as power that year comes from zero-carbon sources like Geothermal, Hydro, Wind, and Solar.
3. "Manual percentage" allows the user to manually enter a percentage change applied at a compound rate for all years after 2026, where each year's carbon intensity equals the previous year multiplied by (1 + manual rate). </t>
        </r>
        <r>
          <rPr>
            <i/>
            <u/>
            <sz val="11"/>
            <color theme="1"/>
            <rFont val="Calibri"/>
            <family val="2"/>
            <scheme val="minor"/>
          </rPr>
          <t>If selecting this option, specify that the percentage is negative for a carbon intensity that goes down over time</t>
        </r>
        <r>
          <rPr>
            <sz val="11"/>
            <color theme="1"/>
            <rFont val="Calibri"/>
            <family val="2"/>
            <scheme val="minor"/>
          </rPr>
          <t>.
4. "Flat" assumes a carbon intensity that is unchanging over time.</t>
        </r>
      </text>
    </comment>
    <comment ref="B20" authorId="1" shapeId="0" xr:uid="{00000000-0006-0000-0100-000002000000}">
      <text>
        <r>
          <rPr>
            <sz val="11"/>
            <color theme="1"/>
            <rFont val="Calibri"/>
            <family val="2"/>
            <scheme val="minor"/>
          </rPr>
          <t xml:space="preserve">1. The "Benefit-Cost Analysis" option refers to price projections that assume the continuation of state and federal EV-supporting policies in New Mexico through 2040. Credit prices fall to zero by 2036 due to credit supply that exceeds compliance obligations.
2. The "Rebuttal Sensitivity Analysis" option refers to price projections that assume the rollback of state and federal EV-supporting policies in New Mexico through 2040. Credit prices remain positive through 2040.
More information on each scenario is available in the 'CreditPrice_Nom' sheet.
3. If you select "Manual (single price),” you will need to enter your desired credit price in Cell C19.
4. If you select "Manual (different annual prices),” you will need to enter the credit price for each year in Column J.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<sst xmlns="http://schemas.openxmlformats.org/spreadsheetml/2006/main" count="341" uniqueCount="238">
  <si>
    <t>General notes</t>
  </si>
  <si>
    <t>2. The only sheet with values to populate is the Calculator tab. All other sheets contain input and parameter values and are for observation only.</t>
  </si>
  <si>
    <t>Calculator directions</t>
  </si>
  <si>
    <r>
      <t xml:space="preserve">1. In Column B of the Calculator sheet, select operating inputs in the </t>
    </r>
    <r>
      <rPr>
        <b/>
        <sz val="10"/>
        <color rgb="FFBF8F00"/>
        <rFont val="Lato"/>
        <family val="2"/>
      </rPr>
      <t>brown cells</t>
    </r>
    <r>
      <rPr>
        <sz val="10"/>
        <color theme="1"/>
        <rFont val="Lato"/>
        <family val="2"/>
      </rPr>
      <t>.</t>
    </r>
  </si>
  <si>
    <t>Calculator input notes</t>
  </si>
  <si>
    <t>b. In this scenario, unlike in the "Rebuttal Sensitivity Analysis" scenario, credit prices fall to zero by 2036 due to credit supply that exceeds compliance obligations.</t>
  </si>
  <si>
    <t>Version: EV_Charging_Credit_Revenue_Calculator_v1</t>
  </si>
  <si>
    <t>Version: Final draft for QA/QC review | Release date: May 2026 | Owner: NMED Clean Transportation Fuel Program</t>
  </si>
  <si>
    <t>Calculator sheet - For user input and results</t>
  </si>
  <si>
    <t>Color legend:</t>
  </si>
  <si>
    <t>Results</t>
  </si>
  <si>
    <t>Input optional</t>
  </si>
  <si>
    <t>Year</t>
  </si>
  <si>
    <t>Fuel CI</t>
  </si>
  <si>
    <t>Credit price</t>
  </si>
  <si>
    <t>Revenue</t>
  </si>
  <si>
    <t>Input required</t>
  </si>
  <si>
    <t>Category or result - do not edit</t>
  </si>
  <si>
    <t>Inputs</t>
  </si>
  <si>
    <t>Operating info</t>
  </si>
  <si>
    <t>Input value if orange</t>
  </si>
  <si>
    <t>Charger type</t>
  </si>
  <si>
    <t>Direct Current Fast Charger</t>
  </si>
  <si>
    <t>Vehicle class</t>
  </si>
  <si>
    <t>Light-medium-duty (14k pounds or less)</t>
  </si>
  <si>
    <t>Number of chargers</t>
  </si>
  <si>
    <r>
      <t>Average daily use (hours/day/charger)</t>
    </r>
    <r>
      <rPr>
        <vertAlign val="superscript"/>
        <sz val="10"/>
        <color theme="1"/>
        <rFont val="Lato"/>
        <family val="2"/>
      </rPr>
      <t>A</t>
    </r>
  </si>
  <si>
    <t>Manual (Different annual CIs)</t>
  </si>
  <si>
    <t>Financial info</t>
  </si>
  <si>
    <t>All years</t>
  </si>
  <si>
    <r>
      <t>Credit Price Scenario</t>
    </r>
    <r>
      <rPr>
        <vertAlign val="superscript"/>
        <sz val="10"/>
        <color theme="1"/>
        <rFont val="Lato"/>
        <family val="2"/>
      </rPr>
      <t>F,H</t>
    </r>
  </si>
  <si>
    <t>Rebuttal Sensitivity Analysis</t>
  </si>
  <si>
    <r>
      <t>Dollar type</t>
    </r>
    <r>
      <rPr>
        <vertAlign val="superscript"/>
        <sz val="10"/>
        <color theme="1"/>
        <rFont val="Lato"/>
        <family val="2"/>
      </rPr>
      <t>G</t>
    </r>
  </si>
  <si>
    <t>Real (input dollar year in Column C)</t>
  </si>
  <si>
    <t>Gross Domestic Product</t>
  </si>
  <si>
    <t>Total</t>
  </si>
  <si>
    <r>
      <rPr>
        <i/>
        <vertAlign val="superscript"/>
        <sz val="10"/>
        <color theme="1"/>
        <rFont val="Lato"/>
        <family val="2"/>
      </rPr>
      <t xml:space="preserve">1 </t>
    </r>
    <r>
      <rPr>
        <i/>
        <sz val="10"/>
        <color theme="1"/>
        <rFont val="Lato"/>
        <family val="2"/>
      </rPr>
      <t>gCO</t>
    </r>
    <r>
      <rPr>
        <i/>
        <vertAlign val="subscript"/>
        <sz val="10"/>
        <color theme="1"/>
        <rFont val="Lato"/>
        <family val="2"/>
      </rPr>
      <t>2</t>
    </r>
    <r>
      <rPr>
        <i/>
        <sz val="10"/>
        <color theme="1"/>
        <rFont val="Lato"/>
        <family val="2"/>
      </rPr>
      <t>e/MJ = Grams of carbon dioxide equivalent lifecycle (well-to-wheel) greenhouse gas emissions per megajoule of useful energy consumed in a motor vehicle</t>
    </r>
  </si>
  <si>
    <t>Capacity and use sheet - For information and viewing only</t>
  </si>
  <si>
    <t>Shows Calculator sheet options for charger capacity and hours of daily use, with source references.</t>
  </si>
  <si>
    <t>Capacity, Level-2 
(kilowatts)</t>
  </si>
  <si>
    <t>Capacity, DCFC 
(kilowatts)</t>
  </si>
  <si>
    <t>Daily use, Level-2 
(Hours per day)</t>
  </si>
  <si>
    <t>Daily use, DCFC
(Hours per day)</t>
  </si>
  <si>
    <t>Manual</t>
  </si>
  <si>
    <t>Estimates from Pritchard, Ewen, Brennan Borlaug, Fan Yan, and Jeff Gonder. "Evaluating Electric Vehicle Public Charging Utilization in 
the United States using the EV WATTS dataset."</t>
  </si>
  <si>
    <t>Low and high capacity estimates from text on page 4. Midpoint chosen for average.</t>
  </si>
  <si>
    <t>"These include 100,765 level 2 (L2) ports, which use 240/208Volt alternating current (AC) electricity and deliver 7.2 to 19.2 kilowatts (kW) of power (around 25-75 miles of range added per hour)…"</t>
  </si>
  <si>
    <t>Average use estimates from time series graphs on page 8. Low use equal to half of the average, high use equal to double the average.</t>
  </si>
  <si>
    <t>CI Standard sheet - For information and viewing only</t>
  </si>
  <si>
    <t>Shows the carbon intensity (CI) standard by year used for Calculator sheet credit calculations.</t>
  </si>
  <si>
    <t>Gasoline</t>
  </si>
  <si>
    <t>Diesel</t>
  </si>
  <si>
    <t>2040 and subsequent years</t>
  </si>
  <si>
    <t>CI</t>
  </si>
  <si>
    <t xml:space="preserve">For Rebuttal Sensitivity Analysis: Berkeley Research Group, LLC. “Fuel and Credit Market Model: ZEV Policy Rollback Scenario” NMED Exhibit 136. </t>
  </si>
  <si>
    <t>EIB 25-23: In the Matter of Proposed Adoption of 20.2.92 NMAC – Clean Transportation Fuel Program. November 7, 2025.</t>
  </si>
  <si>
    <t>https://www.env.nm.gov/opf/wp-content/uploads/sites/13/2025/11/NMED-R135-137.pdf#page=32</t>
  </si>
  <si>
    <t xml:space="preserve">Matches projections from Benefit-Cost Analysis: Berkeley Research Group, LLC. “Fuel and Credit Market Model.” NMED Exhibit 79. </t>
  </si>
  <si>
    <t>EIB 25-23: In the Matter of Proposed Adoption of 20.2.92 NMAC – Clean Transportation Fuel Program. September 2, 2025.</t>
  </si>
  <si>
    <t>https://cloud.env.nm.gov/resources/_translator.php/NzA3NTEwYzYzY2I0NzNhN2JmNDc3NGQ1NV8yMDMxMTU~.pdf#page=379</t>
  </si>
  <si>
    <t>EDU CI Values sheet - For information and viewing only</t>
  </si>
  <si>
    <t>Shows published well-to-wheel (WTW) carbon intensity (CI) values for New Mexico electricity distribution utilities (EDUs), calculated by NMED. Select the applicable EDU option in Cell B16 of the Calculator sheet to use these values.</t>
  </si>
  <si>
    <t>EDU Name</t>
  </si>
  <si>
    <t>EDU Type</t>
  </si>
  <si>
    <t>CI Data Source</t>
  </si>
  <si>
    <t>WTW CI (gCO2e/MJ)</t>
  </si>
  <si>
    <t>PNM Resources</t>
  </si>
  <si>
    <t>Investor-Owned Utility</t>
  </si>
  <si>
    <t>Self-reported + AZNM eGRID</t>
  </si>
  <si>
    <t>El Paso Electric</t>
  </si>
  <si>
    <t>City of Truth or Consequences Electric Division</t>
  </si>
  <si>
    <t>Municipal</t>
  </si>
  <si>
    <t>AZNM eGRID</t>
  </si>
  <si>
    <t>City of Aztec</t>
  </si>
  <si>
    <t>City of Farmington</t>
  </si>
  <si>
    <t>City of Gallup</t>
  </si>
  <si>
    <t>City of Raton</t>
  </si>
  <si>
    <t>City of Springer</t>
  </si>
  <si>
    <t>Kit Carson Electric Cooperative</t>
  </si>
  <si>
    <t>Electric Cooperative</t>
  </si>
  <si>
    <t>Rio Grande Electric Cooperative</t>
  </si>
  <si>
    <t>Duncan Valley Electric Cooperative</t>
  </si>
  <si>
    <t>Los Alamos Dept. of Public Utilities (LADPU)</t>
  </si>
  <si>
    <t>Xcel Energy</t>
  </si>
  <si>
    <t>Self-reported + SPSO eGRID</t>
  </si>
  <si>
    <t>Tri-State G&amp;T (and member coops)</t>
  </si>
  <si>
    <t>Wholesale Cooperative</t>
  </si>
  <si>
    <t>Western Farmers Electric Coop (and member coops)</t>
  </si>
  <si>
    <t>Annual report + SPSO eGRID</t>
  </si>
  <si>
    <t>Navopache Electric Cooperative</t>
  </si>
  <si>
    <t>Tucson Electric Power</t>
  </si>
  <si>
    <t>Source: NM CTFP Electricity Distribution Utility Carbon Intensity Calculations, NMED, June 2026. Values are 2025 WTW CI in gCO2e/MJ. Member coops of Tri-State G&amp;T and Western Farmers use the respective wholesale supplier CI.</t>
  </si>
  <si>
    <t>Credit Price_nom sheet - For information and viewing only</t>
  </si>
  <si>
    <t>Credit prices from the Benefit-Cost Analysis and Rebuttal Sensitivity Analysis in nominal $US, used if either option selected in cell B14 of Calculator sheet</t>
  </si>
  <si>
    <t>Credit Price (nominal)</t>
  </si>
  <si>
    <t>Benefit-Cost Analysis</t>
  </si>
  <si>
    <t xml:space="preserve">For Benefit-Cost Analysis (BCA): Berkeley Research Group, LLC. “Fuel and Credit Market Model.” NMED Exhibit 79. EIB 25-23: In the Matter of Proposed Adoption of 20.2.92 NMAC – Clean Transportation </t>
  </si>
  <si>
    <r>
      <rPr>
        <i/>
        <sz val="9"/>
        <color theme="1"/>
        <rFont val="Calibri"/>
        <family val="2"/>
        <scheme val="minor"/>
      </rPr>
      <t xml:space="preserve">Fuel Program. September 2, 2025. </t>
    </r>
    <r>
      <rPr>
        <i/>
        <u/>
        <sz val="9"/>
        <color theme="10"/>
        <rFont val="Calibri"/>
        <family val="2"/>
        <scheme val="minor"/>
      </rPr>
      <t>https://cloud.env.nm.gov/resources/_translator.php/NzA3NTEwYzYzY2I0NzNhN2JmNDc3NGQ1NV8yMDMxMTU~.pdf#page=461</t>
    </r>
  </si>
  <si>
    <t xml:space="preserve">For Rebuttal Sensitivity Analysis (RSA): Berkeley Research Group, LLC. “Fuel and Credit Market Model: ZEV Policy Rollback Scenario” NMED Exhibit 136. EIB 25-23: In the Matter of Proposed Adoption of </t>
  </si>
  <si>
    <r>
      <rPr>
        <i/>
        <sz val="9"/>
        <color theme="1"/>
        <rFont val="Calibri"/>
        <family val="2"/>
        <scheme val="minor"/>
      </rPr>
      <t>20.2.92 NMAC – Clean Transportation Fuel Program. November 7, 2025.</t>
    </r>
    <r>
      <rPr>
        <i/>
        <sz val="11"/>
        <color theme="1"/>
        <rFont val="Calibri"/>
        <family val="2"/>
        <scheme val="minor"/>
      </rPr>
      <t xml:space="preserve"> </t>
    </r>
    <r>
      <rPr>
        <i/>
        <u/>
        <sz val="9"/>
        <color theme="10"/>
        <rFont val="Calibri"/>
        <family val="2"/>
        <scheme val="minor"/>
      </rPr>
      <t>https://www.env.nm.gov/opf/wp-content/uploads/sites/13/2025/11/NMED-R135-137.pdf#page=111</t>
    </r>
  </si>
  <si>
    <t>Note: Both the Benefits-Cost Analysis (BCA) and the Rebuttal Sensitivity Analysis (RSA) use the Fuel Credit Markets Model (FCMM). The FCMM projects all prices in real $US 2024.</t>
  </si>
  <si>
    <t>The FCMM then calculates nominal credit prices by converting the real $US 2024 prices using the Federal Reserve Bank of Philadelphia. "Fourth Quarter 2024 Survey of Professional Forecasters."</t>
  </si>
  <si>
    <t>https://www.philadelphiafed.org/surveys-and-data/real-time-data-research/spf-q4-2024</t>
  </si>
  <si>
    <t>BCA 2024</t>
  </si>
  <si>
    <t>RSA 2024</t>
  </si>
  <si>
    <t>BCA nom</t>
  </si>
  <si>
    <t>RSA nom</t>
  </si>
  <si>
    <t>Inflation sheet - For information and viewing only</t>
  </si>
  <si>
    <t>Inflation factors used to adjust prices from $US nominal to $US real based upon the factor selected in cell B16 of the Calculator sheet (none if "nominal" selected)</t>
  </si>
  <si>
    <t>Yearly inflation rates</t>
  </si>
  <si>
    <t>Personal Consumption Expenditures</t>
  </si>
  <si>
    <t>Personal Consumption Expenditures (core)</t>
  </si>
  <si>
    <t>Consumer Price Index</t>
  </si>
  <si>
    <t>Consumer Price Index (core)</t>
  </si>
  <si>
    <t>Annual inflation factors (2024 = 1.000)</t>
  </si>
  <si>
    <t>Congressional Budget Office. "The Budget and Economic Outlook: 2026 to 2036." February 2026.</t>
  </si>
  <si>
    <t>https://www.cbo.gov/system/files/2026-02/61882-Outlook-2026.pdf#page=163</t>
  </si>
  <si>
    <t>Options sheet - For information and viewing only</t>
  </si>
  <si>
    <t>GridCISingle</t>
  </si>
  <si>
    <t>GridCIMulti</t>
  </si>
  <si>
    <t>PricesSingle</t>
  </si>
  <si>
    <t>PricesMulti</t>
  </si>
  <si>
    <t>EDU_Option</t>
  </si>
  <si>
    <t>Statewide grid average</t>
  </si>
  <si>
    <t>PNM Resources (51.7 gCO2e/MJ)</t>
  </si>
  <si>
    <t>El Paso Electric (80.2 gCO2e/MJ)</t>
  </si>
  <si>
    <t>Manual (Single price)</t>
  </si>
  <si>
    <t>Xcel Energy (114.3 gCO2e/MJ)</t>
  </si>
  <si>
    <t>Manual (Different annual prices)</t>
  </si>
  <si>
    <t>Tri-State G&amp;T member coops (113.6 gCO2e/MJ)</t>
  </si>
  <si>
    <t>Western Farmers member coops (112.2 gCO2e/MJ)</t>
  </si>
  <si>
    <t>Los Alamos DPUE (117.5 gCO2e/MJ)</t>
  </si>
  <si>
    <t>Navopache Electric Coop (181.6 gCO2e/MJ)</t>
  </si>
  <si>
    <t>AZNM eGRID municipal utilities (106.8 gCO2e/MJ)</t>
  </si>
  <si>
    <t>Manual (single CI)</t>
  </si>
  <si>
    <t>https://docs.nlr.gov/docs/fy24osti/85902.pdf#page=4</t>
  </si>
  <si>
    <t>https://docs.nlr.gov/docs/fy24osti/85902.pdf#page=8</t>
  </si>
  <si>
    <t>National Lab of the Rockies. October 2023.  NREL/CP-5400-85902. https://docs.nlr.gov/docs/fy24osti/85902.pdf.</t>
  </si>
  <si>
    <t>Statewide change</t>
  </si>
  <si>
    <t>Manual percentage</t>
  </si>
  <si>
    <t>Manual (Single CI)</t>
  </si>
  <si>
    <t>Annual CI change</t>
  </si>
  <si>
    <t>Lists the available options for Cells B16, B17, and B20 for single year and multi-year selections, respectively</t>
  </si>
  <si>
    <t>If a manual option is selected, populate the corresponding orange-shaded cells</t>
  </si>
  <si>
    <r>
      <t>Credit price scenarios - Row 20 of Calculator sheet</t>
    </r>
    <r>
      <rPr>
        <b/>
        <i/>
        <vertAlign val="superscript"/>
        <sz val="9"/>
        <color theme="1"/>
        <rFont val="Lato"/>
        <family val="2"/>
      </rPr>
      <t>F,H</t>
    </r>
  </si>
  <si>
    <t>1. The "Benefit-Cost Analysis" option in Cell B20 refers to price projections that assume the continuation of state and federal EV-supporting policies in New Mexico through 2040.</t>
  </si>
  <si>
    <t>3. If you select "Manual (single price)" for CTFP credit prices in Cell B20, you will need to enter your desired credit price in Cell C20.</t>
  </si>
  <si>
    <t>Flat</t>
  </si>
  <si>
    <r>
      <t>Capacity per charger (kilowatts)</t>
    </r>
    <r>
      <rPr>
        <vertAlign val="superscript"/>
        <sz val="10"/>
        <color theme="1"/>
        <rFont val="Lato"/>
        <family val="2"/>
      </rPr>
      <t>1,A</t>
    </r>
  </si>
  <si>
    <r>
      <t>EDU_CI (gCO</t>
    </r>
    <r>
      <rPr>
        <b/>
        <vertAlign val="subscript"/>
        <sz val="11"/>
        <color rgb="FFFFFFFF"/>
        <rFont val="Calibri"/>
        <family val="2"/>
      </rPr>
      <t>2</t>
    </r>
    <r>
      <rPr>
        <b/>
        <sz val="11"/>
        <color rgb="FFFFFFFF"/>
        <rFont val="Calibri"/>
        <family val="2"/>
      </rPr>
      <t>e/MJ)</t>
    </r>
    <r>
      <rPr>
        <b/>
        <vertAlign val="superscript"/>
        <sz val="11"/>
        <color rgb="FFFFFFFF"/>
        <rFont val="Calibri"/>
        <family val="2"/>
      </rPr>
      <t>1</t>
    </r>
  </si>
  <si>
    <t xml:space="preserve">3. The "Manual percentage" option in Cell B17 allows the user to manually enter a percentage change applied linearly for all years after 2026. </t>
  </si>
  <si>
    <r>
      <rPr>
        <i/>
        <vertAlign val="superscript"/>
        <sz val="10"/>
        <color theme="1"/>
        <rFont val="Lato"/>
        <family val="2"/>
      </rPr>
      <t xml:space="preserve">1 </t>
    </r>
    <r>
      <rPr>
        <i/>
        <sz val="10"/>
        <color theme="1"/>
        <rFont val="Lato"/>
        <family val="2"/>
      </rPr>
      <t>Adjust capacity per charger as needed via the manual option in cells B14 and C14 to account for expected differences between nameplate and operational capacity.</t>
    </r>
  </si>
  <si>
    <t>Zero-carbon by 2040</t>
  </si>
  <si>
    <t>Springer Electric Coop, Inc</t>
  </si>
  <si>
    <t>Southwestern Public Service Co</t>
  </si>
  <si>
    <t>Southwestern Electric Coop Inc - (NM)</t>
  </si>
  <si>
    <t>Roosevelt County Elec Coop Inc</t>
  </si>
  <si>
    <t>Rio Grande Electric Coop, Inc</t>
  </si>
  <si>
    <t>Public Service Co of NM</t>
  </si>
  <si>
    <t>Otero County Electric Coop Inc</t>
  </si>
  <si>
    <t>Navopache Electric Coop, Inc</t>
  </si>
  <si>
    <t>Los Alamos County</t>
  </si>
  <si>
    <t>Lea County Electric Coop, Inc - (NM)</t>
  </si>
  <si>
    <t>Kit Carson Electric Coop, Inc</t>
  </si>
  <si>
    <t>Jemez Mountains Elec Coop, Inc</t>
  </si>
  <si>
    <t>Farmers Electric Coop, Inc - (NM)</t>
  </si>
  <si>
    <t>El Paso Electric Co</t>
  </si>
  <si>
    <t>Continental Divide El Coop Inc</t>
  </si>
  <si>
    <t>City of Farmington - (NM)</t>
  </si>
  <si>
    <t>Central Valley Elec Coop, Inc</t>
  </si>
  <si>
    <t>Central New Mexico El Coop, Inc</t>
  </si>
  <si>
    <t>EVs on the Road</t>
  </si>
  <si>
    <t>EV Original Registrations</t>
  </si>
  <si>
    <t>EIA Utility Name</t>
  </si>
  <si>
    <r>
      <t>Navajo Tribal Utility Authority</t>
    </r>
    <r>
      <rPr>
        <vertAlign val="superscript"/>
        <sz val="11"/>
        <rFont val="Aptos Narrow"/>
        <family val="2"/>
      </rPr>
      <t>1</t>
    </r>
  </si>
  <si>
    <r>
      <t>Out of State or Unknown</t>
    </r>
    <r>
      <rPr>
        <vertAlign val="superscript"/>
        <sz val="11"/>
        <rFont val="Aptos Narrow"/>
        <family val="2"/>
      </rPr>
      <t>2</t>
    </r>
  </si>
  <si>
    <t>N/A</t>
  </si>
  <si>
    <t>StatewideChange sheet - For information and viewing only</t>
  </si>
  <si>
    <t>Shows the carbon intensity of electricity dispensed from EV chargers when Statewide changeaverage selected in cell B17 of Calculator sheet.</t>
  </si>
  <si>
    <t>Source for EVs:  Kumar, Higmanshu. “EValuateNM: Vehicle Deep Dive, Utility View.” Atlas Public Policy (blog). Snapshot on July 1, 2026. 
https://atlaspolicy.com/evaluatenm/. Queried July 17, 2026.</t>
  </si>
  <si>
    <r>
      <rPr>
        <i/>
        <vertAlign val="superscript"/>
        <sz val="9"/>
        <rFont val="Aptos Narrow"/>
        <family val="2"/>
      </rPr>
      <t>1</t>
    </r>
    <r>
      <rPr>
        <i/>
        <sz val="9"/>
        <rFont val="Aptos Narrow"/>
        <family val="2"/>
      </rPr>
      <t xml:space="preserve">No well-to-wheel carbon intensity calculated for the Navajo Tribal Utility Authority because it is outside the jurisdiction of the CTFP. </t>
    </r>
  </si>
  <si>
    <r>
      <rPr>
        <i/>
        <vertAlign val="superscript"/>
        <sz val="9"/>
        <rFont val="Aptos Narrow"/>
        <family val="2"/>
      </rPr>
      <t>2</t>
    </r>
    <r>
      <rPr>
        <i/>
        <sz val="9"/>
        <rFont val="Aptos Narrow"/>
        <family val="2"/>
      </rPr>
      <t xml:space="preserve">No well-to-wheel carbon intensity calculated for "Out of state or unknown" due to lack of specificity. </t>
    </r>
  </si>
  <si>
    <t>Statewide Grid Average sheet - For information and viewing only</t>
  </si>
  <si>
    <t>Shows the values calculations of the average statewide well-to-wheel carbon intensity for grid electricity when "Statewide average" selected in cell B16.</t>
  </si>
  <si>
    <r>
      <t xml:space="preserve">2. Depending upon your selections in Column B, you may see </t>
    </r>
    <r>
      <rPr>
        <b/>
        <sz val="10"/>
        <color rgb="FFFFA168"/>
        <rFont val="Lato"/>
        <family val="2"/>
      </rPr>
      <t>orange cells</t>
    </r>
    <r>
      <rPr>
        <b/>
        <sz val="10"/>
        <color theme="1"/>
        <rFont val="Lato"/>
        <family val="2"/>
      </rPr>
      <t xml:space="preserve"> </t>
    </r>
    <r>
      <rPr>
        <sz val="10"/>
        <color theme="1"/>
        <rFont val="Lato"/>
        <family val="2"/>
      </rPr>
      <t>in Column C or Column I where manual input is required. If so, please populate those cells!</t>
    </r>
  </si>
  <si>
    <r>
      <t>2026 Grid/EDU carbon intensity - Row 16 of Calculator sheet</t>
    </r>
    <r>
      <rPr>
        <b/>
        <i/>
        <vertAlign val="superscript"/>
        <sz val="9"/>
        <color theme="1"/>
        <rFont val="Lato"/>
        <family val="2"/>
      </rPr>
      <t>C,D,H</t>
    </r>
  </si>
  <si>
    <r>
      <t>Annual carbon intensity change - Row 17 of Calculator sheet</t>
    </r>
    <r>
      <rPr>
        <b/>
        <i/>
        <vertAlign val="superscript"/>
        <sz val="9"/>
        <color theme="1"/>
        <rFont val="Lato"/>
        <family val="2"/>
      </rPr>
      <t>E,H</t>
    </r>
  </si>
  <si>
    <t>a. More information on each scenario is available in the '(F) CreditPrice_Nom' sheet.</t>
  </si>
  <si>
    <r>
      <t xml:space="preserve"> 2026 Grid/EDU carbon intensity (gCO</t>
    </r>
    <r>
      <rPr>
        <vertAlign val="subscript"/>
        <sz val="10"/>
        <color theme="1"/>
        <rFont val="Lato"/>
        <family val="2"/>
      </rPr>
      <t>2</t>
    </r>
    <r>
      <rPr>
        <sz val="10"/>
        <color theme="1"/>
        <rFont val="Lato"/>
        <family val="2"/>
      </rPr>
      <t>e/MJ)</t>
    </r>
    <r>
      <rPr>
        <vertAlign val="superscript"/>
        <sz val="10"/>
        <color theme="1"/>
        <rFont val="Lato"/>
        <family val="2"/>
      </rPr>
      <t>2,C,D,H</t>
    </r>
  </si>
  <si>
    <r>
      <t>Inflation index</t>
    </r>
    <r>
      <rPr>
        <vertAlign val="superscript"/>
        <sz val="10"/>
        <color theme="1"/>
        <rFont val="Lato"/>
        <family val="2"/>
      </rPr>
      <t>3,G</t>
    </r>
  </si>
  <si>
    <r>
      <t>Annual carbon intensity change</t>
    </r>
    <r>
      <rPr>
        <vertAlign val="superscript"/>
        <sz val="10"/>
        <color theme="1"/>
        <rFont val="Lato"/>
        <family val="2"/>
      </rPr>
      <t>E,H</t>
    </r>
  </si>
  <si>
    <t>Credits</t>
  </si>
  <si>
    <t>As desired, select inputs from brown cells in Column B. Populate any orange cells in Column C, K, and L. Observe revenue results in Column J.</t>
  </si>
  <si>
    <t>Fuel use</t>
  </si>
  <si>
    <t>(MWh)</t>
  </si>
  <si>
    <r>
      <t xml:space="preserve"> (gCO</t>
    </r>
    <r>
      <rPr>
        <b/>
        <vertAlign val="subscript"/>
        <sz val="11"/>
        <color rgb="FFFFFFFF"/>
        <rFont val="Lato"/>
        <family val="2"/>
      </rPr>
      <t>2</t>
    </r>
    <r>
      <rPr>
        <b/>
        <sz val="11"/>
        <color rgb="FFFFFFFF"/>
        <rFont val="Lato"/>
        <family val="2"/>
      </rPr>
      <t>e/MJ)</t>
    </r>
    <r>
      <rPr>
        <b/>
        <vertAlign val="superscript"/>
        <sz val="11"/>
        <color rgb="FFFFFFFF"/>
        <rFont val="Lato"/>
        <family val="2"/>
      </rPr>
      <t>2</t>
    </r>
  </si>
  <si>
    <r>
      <t>(MT CO</t>
    </r>
    <r>
      <rPr>
        <b/>
        <vertAlign val="subscript"/>
        <sz val="11"/>
        <color rgb="FFFFFFFF"/>
        <rFont val="Lato"/>
        <family val="2"/>
      </rPr>
      <t>2</t>
    </r>
    <r>
      <rPr>
        <b/>
        <sz val="11"/>
        <color rgb="FFFFFFFF"/>
        <rFont val="Lato"/>
        <family val="2"/>
      </rPr>
      <t>e)</t>
    </r>
    <r>
      <rPr>
        <b/>
        <vertAlign val="superscript"/>
        <sz val="11"/>
        <color rgb="FFFFFFFF"/>
        <rFont val="Lato"/>
        <family val="2"/>
      </rPr>
      <t>4,5</t>
    </r>
  </si>
  <si>
    <r>
      <t>($/MT CO</t>
    </r>
    <r>
      <rPr>
        <b/>
        <vertAlign val="subscript"/>
        <sz val="11"/>
        <color rgb="FFFFFFFF"/>
        <rFont val="Lato"/>
        <family val="2"/>
      </rPr>
      <t>2</t>
    </r>
    <r>
      <rPr>
        <b/>
        <sz val="11"/>
        <color rgb="FFFFFFFF"/>
        <rFont val="Lato"/>
        <family val="2"/>
      </rPr>
      <t>e)</t>
    </r>
    <r>
      <rPr>
        <b/>
        <vertAlign val="superscript"/>
        <sz val="11"/>
        <color rgb="FFFFFFFF"/>
        <rFont val="Lato"/>
        <family val="2"/>
      </rPr>
      <t>4</t>
    </r>
  </si>
  <si>
    <t>($US)</t>
  </si>
  <si>
    <r>
      <rPr>
        <i/>
        <vertAlign val="superscript"/>
        <sz val="10"/>
        <color theme="1"/>
        <rFont val="Lato"/>
        <family val="2"/>
      </rPr>
      <t xml:space="preserve">2 </t>
    </r>
    <r>
      <rPr>
        <i/>
        <sz val="10"/>
        <color theme="1"/>
        <rFont val="Lato"/>
        <family val="2"/>
      </rPr>
      <t>gCO</t>
    </r>
    <r>
      <rPr>
        <i/>
        <vertAlign val="subscript"/>
        <sz val="10"/>
        <color theme="1"/>
        <rFont val="Lato"/>
        <family val="2"/>
      </rPr>
      <t>2</t>
    </r>
    <r>
      <rPr>
        <i/>
        <sz val="10"/>
        <color theme="1"/>
        <rFont val="Lato"/>
        <family val="2"/>
      </rPr>
      <t>e/MJ = Grams of carbon dioxide equivalent lifecycle (well-to-wheel) greenhouse gas emissions per megajoule of useful energy consumed in a motor vehicle.</t>
    </r>
  </si>
  <si>
    <r>
      <rPr>
        <i/>
        <vertAlign val="superscript"/>
        <sz val="10"/>
        <color theme="1"/>
        <rFont val="Lato"/>
        <family val="2"/>
      </rPr>
      <t xml:space="preserve">3 </t>
    </r>
    <r>
      <rPr>
        <i/>
        <sz val="10"/>
        <color theme="1"/>
        <rFont val="Lato"/>
        <family val="2"/>
      </rPr>
      <t>"Core" inflation indexes exclude the cost of food and energy.</t>
    </r>
  </si>
  <si>
    <r>
      <rPr>
        <i/>
        <vertAlign val="superscript"/>
        <sz val="10"/>
        <color theme="1"/>
        <rFont val="Lato"/>
        <family val="2"/>
      </rPr>
      <t xml:space="preserve">4 </t>
    </r>
    <r>
      <rPr>
        <i/>
        <sz val="10"/>
        <color theme="1"/>
        <rFont val="Lato"/>
        <family val="2"/>
      </rPr>
      <t>MT CO</t>
    </r>
    <r>
      <rPr>
        <i/>
        <vertAlign val="subscript"/>
        <sz val="10"/>
        <color theme="1"/>
        <rFont val="Lato"/>
        <family val="2"/>
      </rPr>
      <t>2</t>
    </r>
    <r>
      <rPr>
        <i/>
        <sz val="10"/>
        <color theme="1"/>
        <rFont val="Lato"/>
        <family val="2"/>
      </rPr>
      <t>e = Metric ton of carbon dioxide equivalent</t>
    </r>
  </si>
  <si>
    <r>
      <rPr>
        <i/>
        <vertAlign val="superscript"/>
        <sz val="10"/>
        <color theme="1"/>
        <rFont val="Lato"/>
        <family val="2"/>
      </rPr>
      <t xml:space="preserve">5 </t>
    </r>
    <r>
      <rPr>
        <i/>
        <sz val="10"/>
        <color theme="1"/>
        <rFont val="Lato"/>
        <family val="2"/>
      </rPr>
      <t>Rounded to the nearest MT CO</t>
    </r>
    <r>
      <rPr>
        <i/>
        <vertAlign val="subscript"/>
        <sz val="10"/>
        <color theme="1"/>
        <rFont val="Lato"/>
        <family val="2"/>
      </rPr>
      <t>2</t>
    </r>
    <r>
      <rPr>
        <i/>
        <sz val="10"/>
        <color theme="1"/>
        <rFont val="Lato"/>
        <family val="2"/>
      </rPr>
      <t xml:space="preserve">e. </t>
    </r>
  </si>
  <si>
    <r>
      <t xml:space="preserve">1. All calculation values and assumptions come from the Clean Transportation Fuel Program rule under </t>
    </r>
    <r>
      <rPr>
        <u/>
        <sz val="10"/>
        <color rgb="FF0070C0"/>
        <rFont val="Lato"/>
        <family val="2"/>
      </rPr>
      <t>20.2.92 NMAC,</t>
    </r>
    <r>
      <rPr>
        <sz val="10"/>
        <color theme="1"/>
        <rFont val="Lato"/>
        <family val="2"/>
      </rPr>
      <t xml:space="preserve"> associated analyses, and external data sources where indicated.</t>
    </r>
  </si>
  <si>
    <t>3. In this sheet and the Calculator sheet, superscript numbers refer to notes on each page. Superscript letters refer to rows referencing data from input assumption sheets (A)-(H).</t>
  </si>
  <si>
    <t>Note: Options 1-3 require an entry into Row 16 to determine grid electricity carbon intensity (CI) changes for years after 2026.</t>
  </si>
  <si>
    <t>2. The "Statewide" option calculates the 2026 grid electricity CI as a weighted average of EDU carbon intensities and the number of registered on-road EVs in each from Atlas Public Policy, EvaluateNM (Kumar, 2026).</t>
  </si>
  <si>
    <t xml:space="preserve">3. If you select "Manual (single CI)," enter your desired 2026 CI for grid electricity in Cell C16. </t>
  </si>
  <si>
    <t>a. Unlike Options 1-3, Option 4 does not require an entry into Row 17 to determine grid electricity CI chages for years after 2026.</t>
  </si>
  <si>
    <t>1. The The "EDU-based estimate" determines the 2026 grid electricity CI for an EDU based upon its 2026 EDU-specific CI value from NMED. See the '(D) EDU CI Values' sheet for a reference list.</t>
  </si>
  <si>
    <t>4. If you select "Manual (Different annual CIs)" in Cell B16, you must manually enter the CI for each year in Column K based upon custom projections.</t>
  </si>
  <si>
    <t>Note: This selection is only available if one of Options 1-3 is selected in Row 16. Selecting Option 4 in Row 16 will require the user to enter each year's CI in Column K based upon custom projections, rendering this row (Row 17) obsolete.</t>
  </si>
  <si>
    <t>1. The "Statewide change" option in Cell B17 uses projected changed in statewide grid CI from the Benefits-Cost Analysis and Rebuttal Sensitivity Analysis that account for the Energy Transition Act.</t>
  </si>
  <si>
    <t>2. The "Zero-carbon by 2040" option in Cell B17 adjusts CI based upon a linear path culminating in a grid carbon intensity of zero by 2040, when power comes from zero-carbon sources like Geothermal, Hydro, Wind, and Solar.</t>
  </si>
  <si>
    <t>a. If selecting this option, specify that the percentage is negative for a CI that goes down over time.</t>
  </si>
  <si>
    <t>4. The "Flat" option in Cell B17 assumes a CI that is unchanging over time.</t>
  </si>
  <si>
    <r>
      <t>Charger details - Rows 11-15 of Calculator sheet</t>
    </r>
    <r>
      <rPr>
        <b/>
        <i/>
        <vertAlign val="superscript"/>
        <sz val="9"/>
        <color theme="1"/>
        <rFont val="Lato"/>
        <family val="2"/>
      </rPr>
      <t>A,1</t>
    </r>
  </si>
  <si>
    <t>1. Row 11 (Charger type): Select whether the charger(s) are Direct Current Fast Chargers (Level-3, DCFC) or Level-2 chargers.</t>
  </si>
  <si>
    <t>a. You can only select one of the two charger types. If you are using both charger types, you must do separate calculations for each.</t>
  </si>
  <si>
    <t>2. Row 12 (Vehicle type): Select whether the charger(s) are used for Light-medium-duty (14,000 pounds or less) or Mediaum-heavy-duty (above 14,000 pounds) vehicles.</t>
  </si>
  <si>
    <t>3. Row 13 (Number of chargers): Indicate the number of charging units that meet the criteria outlined in Rows 11 and 12 (whole numbers only).</t>
  </si>
  <si>
    <t xml:space="preserve">4. Row 14 Capacity per charger (kilowatts): Enter the capacity (in kilowatts) of the charger. This is the amount of electricity (in kilowatt hours) that the charger could dispensed if used continuously for one hour. </t>
  </si>
  <si>
    <t>a. Make sure in populating this row to account for any discrepencies between the charger's nameplate capacity and the amount of power it actually dispenses into a motor vehicle over this period of time.</t>
  </si>
  <si>
    <t>a. In this calculation, consider that there are days in a typical year that the charger may be used more, less, or not at all.</t>
  </si>
  <si>
    <t>5. Row 15 Average daily use (hours/day/charger): Enter the average time each day that a charger is used over the course of a year.</t>
  </si>
  <si>
    <t>Output results year(s)</t>
  </si>
  <si>
    <t>Output results year(s) - Row 19 of Calculator sheet</t>
  </si>
  <si>
    <t>If you would like results for multiple years until 2040, select "All years" in Cell B19. If you would like results for a single year, select "Single year" in Cell B19 and specify that year in Cell C19.</t>
  </si>
  <si>
    <t>4. If you select "Manual (different annual prices) for CTFP credit prices in Cell B20, you will need to enter the credit price for each year in Column L.</t>
  </si>
  <si>
    <t>a. Selecting this option will require you to enter the desired year that all earnings are adjusted to in real terms in Cell C20 (from 2026 to "2040 and subsequent years)".</t>
  </si>
  <si>
    <t>Dollar type - Row 21 of Calculator sheet</t>
  </si>
  <si>
    <t>1. Select "Nominal" in Cell B21 to use nominal dollars for credit prices and revenue that are not adjusted for inflation.</t>
  </si>
  <si>
    <t>2. Select "Real (input dollar year in Column C)" to have credit prices and revenue that are adjusted by an inflation indicator specified in Row 22 to a specific year.</t>
  </si>
  <si>
    <t>Note: This selection is only available if "Real (input dollar year in Column C)" is selected in Row 21. There will be no need for an inflation adjustment if the "nominal" option is selected in that row.</t>
  </si>
  <si>
    <t>If applicable, select a desired inflation index in Cell B22. For more information on each, refer to the '(G) Inflation' sheet.</t>
  </si>
  <si>
    <r>
      <t>Inflation index - Row 22 of Calculator sheet</t>
    </r>
    <r>
      <rPr>
        <b/>
        <i/>
        <vertAlign val="superscript"/>
        <sz val="9"/>
        <color theme="1"/>
        <rFont val="Lato"/>
        <family val="2"/>
      </rPr>
      <t>G</t>
    </r>
  </si>
  <si>
    <t>2037–2040</t>
  </si>
  <si>
    <t>CTFP EV Charger Credit Revenue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</si>
</sst>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164" formatCode="0.0"/>
    <numFmt numFmtId="165" formatCode="0.000"/>
    <numFmt numFmtId="166" formatCode="0.0%"/>
    <numFmt numFmtId="167" formatCode="&quot;$&quot;#,##0.00"/>
    <numFmt numFmtId="168" formatCode="&quot;$&quot;#,##0"/>
  </numFmts>
  <fonts count="52"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Aptos Narrow"/>
      <family val="2"/>
    </font>
    <font>
      <sz val="11"/>
      <color theme="1"/>
      <name val="Calibri"/>
      <family val="2"/>
      <charset val="1"/>
    </font>
    <font>
      <b/>
      <sz val="14"/>
      <color theme="0"/>
      <name val="Lato"/>
      <family val="2"/>
    </font>
    <font>
      <sz val="14"/>
      <color theme="0"/>
      <name val="Lato"/>
      <family val="2"/>
    </font>
    <font>
      <sz val="11"/>
      <color theme="1"/>
      <name val="Lato"/>
      <family val="2"/>
    </font>
    <font>
      <b/>
      <sz val="12"/>
      <color theme="0"/>
      <name val="Lato"/>
      <family val="2"/>
    </font>
    <font>
      <b/>
      <sz val="14"/>
      <color theme="1"/>
      <name val="Lato"/>
      <family val="2"/>
    </font>
    <font>
      <b/>
      <sz val="12"/>
      <color theme="1"/>
      <name val="Lato"/>
      <family val="2"/>
    </font>
    <font>
      <b/>
      <sz val="10"/>
      <color theme="0"/>
      <name val="Lato"/>
      <family val="2"/>
    </font>
    <font>
      <b/>
      <sz val="10"/>
      <color theme="1"/>
      <name val="Lato"/>
      <family val="2"/>
    </font>
    <font>
      <b/>
      <sz val="11"/>
      <color theme="1"/>
      <name val="Lato"/>
      <family val="2"/>
    </font>
    <font>
      <sz val="10"/>
      <color rgb="FF000000"/>
      <name val="Lato"/>
      <family val="2"/>
    </font>
    <font>
      <b/>
      <sz val="10"/>
      <color rgb="FF000000"/>
      <name val="Lato"/>
      <family val="2"/>
    </font>
    <font>
      <sz val="10"/>
      <color theme="1"/>
      <name val="Lato"/>
      <family val="2"/>
    </font>
    <font>
      <vertAlign val="subscript"/>
      <sz val="10"/>
      <color theme="1"/>
      <name val="Lato"/>
      <family val="2"/>
    </font>
    <font>
      <vertAlign val="superscript"/>
      <sz val="10"/>
      <color theme="1"/>
      <name val="Lato"/>
      <family val="2"/>
    </font>
    <font>
      <i/>
      <sz val="10"/>
      <color theme="1"/>
      <name val="Lato"/>
      <family val="2"/>
    </font>
    <font>
      <i/>
      <vertAlign val="superscript"/>
      <sz val="10"/>
      <color theme="1"/>
      <name val="Lato"/>
      <family val="2"/>
    </font>
    <font>
      <i/>
      <vertAlign val="subscript"/>
      <sz val="10"/>
      <color theme="1"/>
      <name val="Lato"/>
      <family val="2"/>
    </font>
    <font>
      <b/>
      <u/>
      <sz val="10"/>
      <color theme="1"/>
      <name val="Lato"/>
      <family val="2"/>
    </font>
    <font>
      <sz val="10"/>
      <color theme="1"/>
      <name val="Calibri"/>
      <family val="2"/>
      <scheme val="minor"/>
    </font>
    <font>
      <u/>
      <sz val="10"/>
      <color rgb="FF0070C0"/>
      <name val="Lato"/>
      <family val="2"/>
    </font>
    <font>
      <u/>
      <sz val="10"/>
      <color theme="10"/>
      <name val="Calibri"/>
      <family val="2"/>
      <scheme val="minor"/>
    </font>
    <font>
      <b/>
      <i/>
      <sz val="9"/>
      <color theme="1"/>
      <name val="Lato"/>
      <family val="2"/>
    </font>
    <font>
      <b/>
      <sz val="10"/>
      <color rgb="FFFFA168"/>
      <name val="Lato"/>
      <family val="2"/>
    </font>
    <font>
      <b/>
      <sz val="10"/>
      <color rgb="FFBF8F00"/>
      <name val="Lato"/>
      <family val="2"/>
    </font>
    <font>
      <b/>
      <i/>
      <vertAlign val="superscript"/>
      <sz val="9"/>
      <color theme="1"/>
      <name val="Lato"/>
      <family val="2"/>
    </font>
    <font>
      <sz val="11"/>
      <name val="Calibri"/>
      <family val="2"/>
    </font>
    <font>
      <b/>
      <sz val="11"/>
      <color rgb="FFFFFFFF"/>
      <name val="Calibri"/>
      <family val="2"/>
    </font>
    <font>
      <i/>
      <sz val="9"/>
      <name val="Calibri"/>
      <family val="2"/>
    </font>
    <font>
      <i/>
      <u/>
      <sz val="9"/>
      <color theme="10"/>
      <name val="Calibri"/>
      <family val="2"/>
      <scheme val="minor"/>
    </font>
    <font>
      <i/>
      <sz val="9"/>
      <color theme="1"/>
      <name val="Calibri"/>
      <family val="2"/>
      <scheme val="minor"/>
    </font>
    <font>
      <i/>
      <sz val="9"/>
      <name val="Calibri"/>
      <family val="2"/>
      <scheme val="minor"/>
    </font>
    <font>
      <i/>
      <sz val="11"/>
      <color theme="1"/>
      <name val="Calibri"/>
      <family val="2"/>
      <scheme val="minor"/>
    </font>
    <font>
      <i/>
      <u/>
      <sz val="11"/>
      <color theme="1"/>
      <name val="Calibri"/>
      <family val="2"/>
      <scheme val="minor"/>
    </font>
    <font>
      <b/>
      <vertAlign val="subscript"/>
      <sz val="11"/>
      <color rgb="FFFFFFFF"/>
      <name val="Calibri"/>
      <family val="2"/>
    </font>
    <font>
      <b/>
      <vertAlign val="superscript"/>
      <sz val="11"/>
      <color rgb="FFFFFFFF"/>
      <name val="Calibri"/>
      <family val="2"/>
    </font>
    <font>
      <sz val="11"/>
      <color theme="0"/>
      <name val="Lato"/>
      <family val="2"/>
    </font>
    <font>
      <sz val="11"/>
      <name val="Aptos Narrow"/>
      <family val="2"/>
    </font>
    <font>
      <b/>
      <sz val="11"/>
      <name val="Aptos Narrow"/>
      <family val="2"/>
    </font>
    <font>
      <vertAlign val="superscript"/>
      <sz val="11"/>
      <name val="Aptos Narrow"/>
      <family val="2"/>
    </font>
    <font>
      <i/>
      <vertAlign val="superscript"/>
      <sz val="9"/>
      <name val="Aptos Narrow"/>
      <family val="2"/>
    </font>
    <font>
      <i/>
      <sz val="9"/>
      <name val="Aptos Narrow"/>
      <family val="2"/>
    </font>
    <font>
      <b/>
      <sz val="11"/>
      <color rgb="FFFFFFFF"/>
      <name val="Lato"/>
      <family val="2"/>
    </font>
    <font>
      <b/>
      <vertAlign val="subscript"/>
      <sz val="11"/>
      <color rgb="FFFFFFFF"/>
      <name val="Lato"/>
      <family val="2"/>
    </font>
    <font>
      <b/>
      <vertAlign val="superscript"/>
      <sz val="11"/>
      <color rgb="FFFFFFFF"/>
      <name val="Lato"/>
      <family val="2"/>
    </font>
    <font>
      <sz val="10"/>
      <color theme="0"/>
      <name val="Lato"/>
      <family val="2"/>
    </font>
    <font>
      <sz val="9"/>
      <color theme="1"/>
      <name val="Lato"/>
      <family val="2"/>
    </font>
  </fonts>
  <fills count="10">
    <fill>
      <patternFill patternType="none"/>
    </fill>
    <fill>
      <patternFill patternType="gray125"/>
    </fill>
    <fill>
      <patternFill patternType="solid">
        <fgColor theme="0"/>
        <bgColor indexed="64"/>
      </patternFill>
    </fill>
    <fill>
      <patternFill patternType="solid">
        <fgColor rgb="FFFFA168"/>
        <bgColor rgb="FF000000"/>
      </patternFill>
    </fill>
    <fill>
      <patternFill patternType="solid">
        <fgColor rgb="FFF1E1C0"/>
        <bgColor indexed="64"/>
      </patternFill>
    </fill>
    <fill>
      <patternFill patternType="solid">
        <fgColor rgb="FFF4F1E2"/>
        <bgColor indexed="64"/>
      </patternFill>
    </fill>
    <fill>
      <patternFill patternType="solid">
        <fgColor theme="7" tint="-0.249977111117893"/>
        <bgColor indexed="64"/>
      </patternFill>
    </fill>
    <fill>
      <patternFill patternType="solid">
        <fgColor rgb="FFBF8F00"/>
        <bgColor indexed="64"/>
      </patternFill>
    </fill>
    <fill>
      <patternFill patternType="solid">
        <fgColor rgb="FF595959"/>
      </patternFill>
    </fill>
    <fill>
      <patternFill patternType="solid">
        <fgColor rgb="FFF4F1E2"/>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auto="1"/>
      </right>
      <top style="medium">
        <color indexed="64"/>
      </top>
      <bottom style="medium">
        <color indexed="64"/>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right/>
      <top style="medium">
        <color indexed="64"/>
      </top>
      <bottom style="medium">
        <color indexed="64"/>
      </bottom>
      <diagonal/>
    </border>
    <border>
      <left/>
      <right/>
      <top style="thin">
        <color auto="1"/>
      </top>
      <bottom/>
      <diagonal/>
    </border>
    <border>
      <left/>
      <right/>
      <top/>
      <bottom style="thin">
        <color auto="1"/>
      </bottom>
      <diagonal/>
    </border>
    <border>
      <left style="thin">
        <color auto="1"/>
      </left>
      <right/>
      <top/>
      <bottom style="thin">
        <color auto="1"/>
      </bottom>
      <diagonal/>
    </border>
  </borders>
  <cellStyleXfs count="7">
    <xf numFmtId="0" fontId="0" fillId="0" borderId="0"/>
    <xf numFmtId="44" fontId="1" fillId="0" borderId="0"/>
    <xf numFmtId="0" fontId="4" fillId="0" borderId="0"/>
    <xf numFmtId="0" fontId="5" fillId="0" borderId="0"/>
    <xf numFmtId="9" fontId="1" fillId="0" borderId="0"/>
    <xf numFmtId="0" fontId="3" fillId="0" borderId="0" applyNumberFormat="0" applyFill="0" applyBorder="0" applyAlignment="0" applyProtection="0"/>
    <xf numFmtId="0" fontId="42" fillId="0" borderId="0"/>
  </cellStyleXfs>
  <cellXfs count="137">
    <xf numFmtId="0" fontId="0" fillId="0" borderId="0" xfId="0"/>
    <xf numFmtId="0" fontId="2" fillId="0" borderId="0" xfId="0" applyFont="1"/>
    <xf numFmtId="44" fontId="0" fillId="0" borderId="0" xfId="1" applyFont="1"/>
    <xf numFmtId="0" fontId="0" fillId="0" borderId="0" xfId="0" applyAlignment="1">
      <alignment horizontal="center"/>
    </xf>
    <xf numFmtId="0" fontId="2" fillId="0" borderId="0" xfId="0" applyFont="1" applyAlignment="1">
      <alignment horizontal="center"/>
    </xf>
    <xf numFmtId="164" fontId="0" fillId="0" borderId="0" xfId="0" applyNumberFormat="1" applyAlignment="1">
      <alignment horizontal="center"/>
    </xf>
    <xf numFmtId="0" fontId="5" fillId="0" borderId="0" xfId="3"/>
    <xf numFmtId="2" fontId="5" fillId="0" borderId="0" xfId="3" applyNumberFormat="1"/>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7" fillId="5" borderId="10" xfId="0" applyFont="1" applyFill="1" applyBorder="1" applyAlignment="1">
      <alignment horizontal="center" vertical="center"/>
    </xf>
    <xf numFmtId="0" fontId="12" fillId="6" borderId="10" xfId="0" applyFont="1" applyFill="1" applyBorder="1" applyAlignment="1">
      <alignment horizontal="center" vertical="center"/>
    </xf>
    <xf numFmtId="0" fontId="17" fillId="5" borderId="10"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2" fillId="6" borderId="15" xfId="0" applyFont="1" applyFill="1" applyBorder="1" applyAlignment="1">
      <alignment horizontal="center" vertical="center"/>
    </xf>
    <xf numFmtId="0" fontId="17" fillId="5" borderId="8" xfId="0" applyFont="1" applyFill="1" applyBorder="1" applyAlignment="1">
      <alignment horizontal="center" vertical="center"/>
    </xf>
    <xf numFmtId="0" fontId="12" fillId="6" borderId="9" xfId="0" applyFont="1" applyFill="1" applyBorder="1" applyAlignment="1">
      <alignment horizontal="center" vertical="center"/>
    </xf>
    <xf numFmtId="0" fontId="12" fillId="6" borderId="11" xfId="0" applyFont="1" applyFill="1" applyBorder="1" applyAlignment="1">
      <alignment horizontal="center" vertical="center"/>
    </xf>
    <xf numFmtId="0" fontId="17" fillId="5" borderId="12" xfId="0" applyFont="1" applyFill="1" applyBorder="1" applyAlignment="1">
      <alignment horizontal="center" vertical="center"/>
    </xf>
    <xf numFmtId="0" fontId="12" fillId="6" borderId="13" xfId="0" applyFont="1" applyFill="1" applyBorder="1" applyAlignment="1">
      <alignment horizontal="center" vertical="center"/>
    </xf>
    <xf numFmtId="0" fontId="0" fillId="0" borderId="0" xfId="0" applyAlignment="1">
      <alignment vertical="center"/>
    </xf>
    <xf numFmtId="0" fontId="17" fillId="0" borderId="0" xfId="0" applyFont="1" applyAlignment="1">
      <alignment vertical="center"/>
    </xf>
    <xf numFmtId="0" fontId="9" fillId="0" borderId="16" xfId="0" applyFont="1" applyBorder="1" applyAlignment="1">
      <alignment horizontal="center" vertical="center"/>
    </xf>
    <xf numFmtId="0" fontId="9" fillId="0" borderId="0" xfId="0" applyFont="1" applyAlignment="1">
      <alignment horizontal="center" vertical="center"/>
    </xf>
    <xf numFmtId="167" fontId="17" fillId="0" borderId="0" xfId="1" applyNumberFormat="1" applyFont="1" applyAlignment="1">
      <alignment vertical="center"/>
    </xf>
    <xf numFmtId="0" fontId="17" fillId="0" borderId="0" xfId="0" applyFont="1" applyAlignment="1">
      <alignment horizontal="center" vertical="center"/>
    </xf>
    <xf numFmtId="0" fontId="12" fillId="0" borderId="14" xfId="0" applyFont="1" applyBorder="1" applyAlignment="1">
      <alignment horizontal="center" vertical="center"/>
    </xf>
    <xf numFmtId="0" fontId="12" fillId="0" borderId="4" xfId="0" applyFont="1" applyBorder="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9" fontId="8" fillId="0" borderId="0" xfId="4" applyFont="1" applyAlignment="1">
      <alignment horizontal="center" vertical="center"/>
    </xf>
    <xf numFmtId="0" fontId="12" fillId="7" borderId="10" xfId="0" applyFont="1" applyFill="1" applyBorder="1" applyAlignment="1">
      <alignment horizontal="center" vertical="center"/>
    </xf>
    <xf numFmtId="0" fontId="12" fillId="7" borderId="8" xfId="0" applyFont="1" applyFill="1" applyBorder="1" applyAlignment="1">
      <alignment horizontal="center" vertical="center"/>
    </xf>
    <xf numFmtId="0" fontId="24" fillId="0" borderId="0" xfId="0" applyFont="1" applyAlignment="1">
      <alignment vertical="center"/>
    </xf>
    <xf numFmtId="0" fontId="0" fillId="2" borderId="0" xfId="0" applyFill="1" applyAlignment="1">
      <alignmen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23" fillId="2" borderId="0" xfId="0" applyFont="1" applyFill="1" applyAlignment="1">
      <alignment vertical="center"/>
    </xf>
    <xf numFmtId="0" fontId="17" fillId="2" borderId="0" xfId="0" applyFont="1" applyFill="1" applyAlignment="1">
      <alignment vertical="center"/>
    </xf>
    <xf numFmtId="0" fontId="24" fillId="2" borderId="0" xfId="0" applyFont="1" applyFill="1" applyAlignment="1">
      <alignment vertical="center"/>
    </xf>
    <xf numFmtId="0" fontId="27" fillId="2" borderId="0" xfId="0" applyFont="1" applyFill="1" applyAlignment="1">
      <alignment vertical="center"/>
    </xf>
    <xf numFmtId="0" fontId="32" fillId="8" borderId="24" xfId="0" applyFont="1" applyFill="1" applyBorder="1" applyAlignment="1">
      <alignment horizontal="center" vertical="center"/>
    </xf>
    <xf numFmtId="0" fontId="31" fillId="9" borderId="24" xfId="0" applyFont="1" applyFill="1" applyBorder="1" applyAlignment="1">
      <alignment horizontal="left" vertical="center" indent="1"/>
    </xf>
    <xf numFmtId="164" fontId="31" fillId="9" borderId="24" xfId="0" applyNumberFormat="1" applyFont="1" applyFill="1" applyBorder="1" applyAlignment="1">
      <alignment horizontal="center" vertical="center"/>
    </xf>
    <xf numFmtId="0" fontId="26" fillId="2" borderId="0" xfId="5" applyFont="1" applyFill="1" applyBorder="1" applyAlignment="1">
      <alignment vertical="center"/>
    </xf>
    <xf numFmtId="0" fontId="3" fillId="0" borderId="0" xfId="5" applyFill="1"/>
    <xf numFmtId="0" fontId="3" fillId="0" borderId="0" xfId="5"/>
    <xf numFmtId="0" fontId="31" fillId="9" borderId="24" xfId="0" applyFont="1" applyFill="1" applyBorder="1" applyAlignment="1">
      <alignment horizontal="left" vertical="center" wrapText="1" indent="1"/>
    </xf>
    <xf numFmtId="164" fontId="31" fillId="9" borderId="24" xfId="0" applyNumberFormat="1" applyFont="1" applyFill="1" applyBorder="1" applyAlignment="1">
      <alignment horizontal="center" vertical="center" wrapText="1"/>
    </xf>
    <xf numFmtId="165" fontId="31" fillId="9" borderId="24" xfId="0" applyNumberFormat="1" applyFont="1" applyFill="1" applyBorder="1" applyAlignment="1">
      <alignment horizontal="left" vertical="center" indent="1"/>
    </xf>
    <xf numFmtId="165" fontId="31" fillId="9" borderId="24" xfId="0" applyNumberFormat="1" applyFont="1" applyFill="1" applyBorder="1" applyAlignment="1">
      <alignment horizontal="center" vertical="center"/>
    </xf>
    <xf numFmtId="44" fontId="1" fillId="5" borderId="24" xfId="1" applyFill="1" applyBorder="1"/>
    <xf numFmtId="0" fontId="32" fillId="8" borderId="24" xfId="0" applyFont="1" applyFill="1" applyBorder="1" applyAlignment="1">
      <alignment horizontal="center" vertical="center" wrapText="1"/>
    </xf>
    <xf numFmtId="2" fontId="1" fillId="5" borderId="24" xfId="1" applyNumberFormat="1" applyFill="1" applyBorder="1"/>
    <xf numFmtId="164" fontId="1" fillId="5" borderId="24" xfId="1" applyNumberFormat="1" applyFill="1" applyBorder="1"/>
    <xf numFmtId="1" fontId="1" fillId="5" borderId="24" xfId="1" applyNumberFormat="1" applyFill="1" applyBorder="1"/>
    <xf numFmtId="2" fontId="1" fillId="5" borderId="24" xfId="1" applyNumberFormat="1" applyFill="1" applyBorder="1" applyAlignment="1">
      <alignment horizontal="right"/>
    </xf>
    <xf numFmtId="0" fontId="33" fillId="0" borderId="0" xfId="0" applyFont="1"/>
    <xf numFmtId="0" fontId="34" fillId="0" borderId="0" xfId="5" applyFont="1" applyFill="1"/>
    <xf numFmtId="0" fontId="36" fillId="0" borderId="0" xfId="0" applyFont="1"/>
    <xf numFmtId="0" fontId="34" fillId="0" borderId="0" xfId="5" applyFont="1"/>
    <xf numFmtId="0" fontId="37" fillId="0" borderId="0" xfId="0" applyFont="1"/>
    <xf numFmtId="0" fontId="16" fillId="3" borderId="24" xfId="0" applyFont="1" applyFill="1" applyBorder="1" applyAlignment="1">
      <alignment horizontal="center" vertical="center"/>
    </xf>
    <xf numFmtId="0" fontId="15" fillId="0" borderId="24" xfId="3" applyFont="1" applyBorder="1" applyAlignment="1">
      <alignment horizontal="left" vertical="center" wrapText="1"/>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20" fillId="0" borderId="0" xfId="0" applyFont="1"/>
    <xf numFmtId="166" fontId="12" fillId="0" borderId="24" xfId="3" applyNumberFormat="1" applyFont="1" applyBorder="1" applyAlignment="1" applyProtection="1">
      <alignment horizontal="center" vertical="center" wrapText="1"/>
      <protection locked="0"/>
    </xf>
    <xf numFmtId="0" fontId="16" fillId="3" borderId="28" xfId="0" applyFont="1" applyFill="1" applyBorder="1" applyAlignment="1">
      <alignment horizontal="center" vertical="center"/>
    </xf>
    <xf numFmtId="9" fontId="41" fillId="0" borderId="4" xfId="4" applyFont="1" applyBorder="1" applyAlignment="1">
      <alignment horizontal="center"/>
    </xf>
    <xf numFmtId="0" fontId="42" fillId="0" borderId="0" xfId="6"/>
    <xf numFmtId="0" fontId="43" fillId="0" borderId="6" xfId="6" applyFont="1" applyBorder="1" applyAlignment="1">
      <alignment horizontal="center"/>
    </xf>
    <xf numFmtId="0" fontId="43" fillId="0" borderId="29" xfId="6" applyFont="1" applyBorder="1" applyAlignment="1">
      <alignment horizontal="center"/>
    </xf>
    <xf numFmtId="0" fontId="43" fillId="0" borderId="7" xfId="6" applyFont="1" applyBorder="1" applyAlignment="1">
      <alignment horizontal="center"/>
    </xf>
    <xf numFmtId="0" fontId="42" fillId="0" borderId="16" xfId="6" applyBorder="1" applyAlignment="1">
      <alignment horizontal="center"/>
    </xf>
    <xf numFmtId="3" fontId="42" fillId="0" borderId="0" xfId="6" applyNumberFormat="1" applyAlignment="1">
      <alignment horizontal="center"/>
    </xf>
    <xf numFmtId="164" fontId="42" fillId="0" borderId="22" xfId="6" applyNumberFormat="1" applyBorder="1" applyAlignment="1">
      <alignment horizontal="center"/>
    </xf>
    <xf numFmtId="0" fontId="4" fillId="0" borderId="16" xfId="6" applyFont="1" applyBorder="1" applyAlignment="1">
      <alignment horizontal="center"/>
    </xf>
    <xf numFmtId="0" fontId="4" fillId="0" borderId="22" xfId="6" applyFont="1" applyBorder="1" applyAlignment="1">
      <alignment horizontal="center"/>
    </xf>
    <xf numFmtId="3" fontId="43" fillId="0" borderId="29" xfId="6" applyNumberFormat="1" applyFont="1" applyBorder="1" applyAlignment="1">
      <alignment horizontal="center"/>
    </xf>
    <xf numFmtId="0" fontId="12" fillId="0" borderId="0" xfId="0" applyFont="1" applyAlignment="1">
      <alignment horizontal="center" vertical="center"/>
    </xf>
    <xf numFmtId="0" fontId="47" fillId="8" borderId="24" xfId="0" applyFont="1" applyFill="1" applyBorder="1" applyAlignment="1">
      <alignment horizontal="center" vertical="center"/>
    </xf>
    <xf numFmtId="0" fontId="47" fillId="8" borderId="24" xfId="0" applyFont="1" applyFill="1" applyBorder="1" applyAlignment="1">
      <alignment horizontal="center" vertical="center" wrapText="1"/>
    </xf>
    <xf numFmtId="1" fontId="8" fillId="5" borderId="24" xfId="1" applyNumberFormat="1" applyFont="1" applyFill="1" applyBorder="1" applyAlignment="1">
      <alignment horizontal="center"/>
    </xf>
    <xf numFmtId="2" fontId="8" fillId="5" borderId="24" xfId="1" applyNumberFormat="1" applyFont="1" applyFill="1" applyBorder="1" applyAlignment="1">
      <alignment horizontal="center"/>
    </xf>
    <xf numFmtId="167" fontId="8" fillId="5" borderId="24" xfId="1" applyNumberFormat="1" applyFont="1" applyFill="1" applyBorder="1" applyAlignment="1">
      <alignment horizontal="center"/>
    </xf>
    <xf numFmtId="168" fontId="8" fillId="5" borderId="24" xfId="1" applyNumberFormat="1" applyFont="1" applyFill="1" applyBorder="1" applyAlignment="1">
      <alignment horizontal="center"/>
    </xf>
    <xf numFmtId="0" fontId="14" fillId="5" borderId="6" xfId="0" applyFont="1" applyFill="1" applyBorder="1" applyAlignment="1">
      <alignment horizontal="center" vertical="center"/>
    </xf>
    <xf numFmtId="168" fontId="14" fillId="5" borderId="1" xfId="0" applyNumberFormat="1" applyFont="1" applyFill="1" applyBorder="1" applyAlignment="1">
      <alignment horizontal="center" vertical="center"/>
    </xf>
    <xf numFmtId="0" fontId="50" fillId="0" borderId="0" xfId="0" applyFont="1" applyAlignment="1">
      <alignment horizontal="center" vertical="center"/>
    </xf>
    <xf numFmtId="0" fontId="51" fillId="2" borderId="0" xfId="0" applyFont="1" applyFill="1" applyAlignment="1">
      <alignment vertical="center"/>
    </xf>
    <xf numFmtId="0" fontId="47" fillId="8" borderId="30" xfId="0" applyFont="1" applyFill="1" applyBorder="1" applyAlignment="1">
      <alignment horizontal="center" vertical="center"/>
    </xf>
    <xf numFmtId="0" fontId="47" fillId="8" borderId="31"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0" xfId="0" applyFont="1" applyFill="1" applyAlignment="1">
      <alignment horizontal="center" vertical="center"/>
    </xf>
    <xf numFmtId="0" fontId="14" fillId="4" borderId="16" xfId="0" applyFont="1" applyFill="1" applyBorder="1" applyAlignment="1">
      <alignment horizontal="center" vertical="center"/>
    </xf>
    <xf numFmtId="0" fontId="14" fillId="4" borderId="0" xfId="0" applyFont="1" applyFill="1" applyAlignment="1">
      <alignment horizontal="center" vertical="center"/>
    </xf>
    <xf numFmtId="0" fontId="47" fillId="8" borderId="32" xfId="0" applyFont="1" applyFill="1" applyBorder="1" applyAlignment="1">
      <alignment horizontal="center" vertical="center" wrapText="1"/>
    </xf>
    <xf numFmtId="0" fontId="47" fillId="8" borderId="31" xfId="0" applyFont="1" applyFill="1" applyBorder="1" applyAlignment="1">
      <alignment horizontal="center" vertical="center" wrapText="1"/>
    </xf>
    <xf numFmtId="0" fontId="13" fillId="0" borderId="1" xfId="0" applyFont="1" applyBorder="1" applyAlignment="1">
      <alignment horizontal="center" vertical="center"/>
    </xf>
    <xf numFmtId="0" fontId="8" fillId="0" borderId="7" xfId="0" applyFont="1" applyBorder="1"/>
    <xf numFmtId="0" fontId="47" fillId="8" borderId="26" xfId="0" applyFont="1" applyFill="1" applyBorder="1" applyAlignment="1">
      <alignment horizontal="center" vertical="center" wrapText="1"/>
    </xf>
    <xf numFmtId="0" fontId="47" fillId="8" borderId="27" xfId="0" applyFont="1" applyFill="1" applyBorder="1" applyAlignment="1">
      <alignment horizontal="center" vertical="center" wrapText="1"/>
    </xf>
    <xf numFmtId="0" fontId="16" fillId="3" borderId="16" xfId="0" applyFont="1" applyFill="1" applyBorder="1" applyAlignment="1">
      <alignment horizontal="center" vertical="center"/>
    </xf>
    <xf numFmtId="0" fontId="16" fillId="3" borderId="22" xfId="0" applyFont="1" applyFill="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horizontal="center" vertical="center"/>
    </xf>
    <xf numFmtId="0" fontId="17" fillId="5" borderId="2" xfId="0" applyFont="1" applyFill="1" applyBorder="1" applyAlignment="1">
      <alignment horizontal="center" vertical="center"/>
    </xf>
    <xf numFmtId="0" fontId="17" fillId="5" borderId="17" xfId="0" applyFont="1" applyFill="1" applyBorder="1" applyAlignment="1">
      <alignment horizontal="center" vertical="center"/>
    </xf>
    <xf numFmtId="0" fontId="13" fillId="0" borderId="23" xfId="0" applyFont="1" applyBorder="1" applyAlignment="1">
      <alignment horizontal="center" vertical="center"/>
    </xf>
    <xf numFmtId="0" fontId="8" fillId="0" borderId="21" xfId="0" applyFont="1" applyBorder="1"/>
    <xf numFmtId="0" fontId="12" fillId="7" borderId="18" xfId="0" applyFont="1" applyFill="1" applyBorder="1" applyAlignment="1">
      <alignment horizontal="center" vertical="center"/>
    </xf>
    <xf numFmtId="0" fontId="12" fillId="7" borderId="20" xfId="0" applyFont="1" applyFill="1" applyBorder="1" applyAlignment="1">
      <alignment horizontal="center" vertical="center"/>
    </xf>
    <xf numFmtId="0" fontId="14" fillId="2" borderId="0" xfId="0" applyFont="1" applyFill="1" applyAlignment="1">
      <alignment horizontal="center" vertical="center"/>
    </xf>
    <xf numFmtId="0" fontId="8" fillId="2" borderId="0" xfId="0" applyFont="1" applyFill="1" applyAlignment="1">
      <alignment horizontal="center"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11" fillId="4" borderId="2" xfId="0" applyFont="1" applyFill="1" applyBorder="1" applyAlignment="1">
      <alignment horizontal="center"/>
    </xf>
    <xf numFmtId="0" fontId="11" fillId="4" borderId="3" xfId="0" applyFont="1" applyFill="1" applyBorder="1" applyAlignment="1">
      <alignment horizontal="center"/>
    </xf>
    <xf numFmtId="0" fontId="11" fillId="4" borderId="17" xfId="0" applyFont="1" applyFill="1" applyBorder="1" applyAlignment="1">
      <alignment horizontal="center"/>
    </xf>
    <xf numFmtId="0" fontId="33" fillId="0" borderId="0" xfId="0" applyFont="1" applyAlignment="1">
      <alignment wrapText="1"/>
    </xf>
    <xf numFmtId="0" fontId="35" fillId="0" borderId="0" xfId="0" applyFont="1"/>
    <xf numFmtId="0" fontId="10" fillId="4" borderId="16" xfId="0" applyFont="1" applyFill="1" applyBorder="1" applyAlignment="1">
      <alignment horizontal="center" vertical="center"/>
    </xf>
    <xf numFmtId="0" fontId="10" fillId="4" borderId="0" xfId="0" applyFont="1" applyFill="1" applyAlignment="1">
      <alignment horizontal="center" vertical="center"/>
    </xf>
    <xf numFmtId="0" fontId="11" fillId="4" borderId="16" xfId="0" applyFont="1" applyFill="1" applyBorder="1" applyAlignment="1">
      <alignment horizontal="center" wrapText="1"/>
    </xf>
    <xf numFmtId="0" fontId="11" fillId="4" borderId="0" xfId="0" applyFont="1" applyFill="1" applyAlignment="1">
      <alignment horizontal="center" wrapText="1"/>
    </xf>
    <xf numFmtId="0" fontId="0" fillId="0" borderId="0" xfId="0"/>
    <xf numFmtId="0" fontId="0" fillId="0" borderId="0" xfId="0" applyAlignment="1">
      <alignment wrapText="1"/>
    </xf>
    <xf numFmtId="0" fontId="11" fillId="4" borderId="2" xfId="0" applyFont="1" applyFill="1" applyBorder="1" applyAlignment="1">
      <alignment horizontal="center" wrapText="1"/>
    </xf>
    <xf numFmtId="0" fontId="11" fillId="4" borderId="3" xfId="0" applyFont="1" applyFill="1" applyBorder="1" applyAlignment="1">
      <alignment horizontal="center" wrapText="1"/>
    </xf>
    <xf numFmtId="0" fontId="11" fillId="4" borderId="22" xfId="0" applyFont="1" applyFill="1" applyBorder="1" applyAlignment="1">
      <alignment horizontal="center" wrapText="1"/>
    </xf>
    <xf numFmtId="0" fontId="11" fillId="4" borderId="17" xfId="0" applyFont="1" applyFill="1" applyBorder="1" applyAlignment="1">
      <alignment horizontal="center" wrapText="1"/>
    </xf>
    <xf numFmtId="0" fontId="11" fillId="4" borderId="16" xfId="0" applyFont="1" applyFill="1" applyBorder="1" applyAlignment="1">
      <alignment horizontal="center"/>
    </xf>
    <xf numFmtId="0" fontId="11" fillId="4" borderId="0" xfId="0" applyFont="1" applyFill="1" applyAlignment="1">
      <alignment horizontal="center"/>
    </xf>
    <xf numFmtId="0" fontId="31" fillId="9" borderId="25" xfId="0" applyFont="1" applyFill="1" applyBorder="1" applyAlignment="1">
      <alignment horizontal="center" vertical="center"/>
    </xf>
    <xf numFmtId="0" fontId="32" fillId="8" borderId="25" xfId="0" applyFont="1" applyFill="1" applyBorder="1" applyAlignment="1">
      <alignment horizontal="center" vertical="center" wrapText="1"/>
    </xf>
  </cellXfs>
  <cellStyles count="7">
    <cellStyle name="Currency" xfId="1" builtinId="4"/>
    <cellStyle name="Hyperlink 2" xfId="5" xr:uid="{746D0028-633C-4112-964C-A8C6DCD35308}"/>
    <cellStyle name="Normal" xfId="0" builtinId="0"/>
    <cellStyle name="Normal 2" xfId="2" xr:uid="{00000000-0005-0000-0000-000003000000}"/>
    <cellStyle name="Normal 3" xfId="3" xr:uid="{00000000-0005-0000-0000-000004000000}"/>
    <cellStyle name="Normal 4" xfId="6" xr:uid="{F402045D-2D7E-4D26-8E0D-BEEBB6D0672D}"/>
    <cellStyle name="Percent" xfId="4" builtinId="5"/>
  </cellStyles>
  <dxfs count="74">
    <dxf>
      <border>
        <top style="thin">
          <color auto="1"/>
        </top>
        <vertical/>
        <horizontal/>
      </border>
    </dxf>
    <dxf>
      <font>
        <color theme="0"/>
      </font>
      <fill>
        <patternFill patternType="none">
          <bgColor auto="1"/>
        </patternFill>
      </fill>
      <border>
        <left/>
        <right/>
        <top/>
        <bottom/>
        <vertical/>
        <horizontal/>
      </border>
    </dxf>
    <dxf>
      <fill>
        <patternFill>
          <bgColor rgb="FFFFA168"/>
        </patternFill>
      </fill>
    </dxf>
    <dxf>
      <font>
        <b/>
      </font>
      <fill>
        <patternFill>
          <bgColor rgb="FFFFA168"/>
        </patternFill>
      </fill>
      <border>
        <left style="thin">
          <color auto="1"/>
        </left>
        <right style="thin">
          <color auto="1"/>
        </right>
        <top style="thin">
          <color auto="1"/>
        </top>
        <bottom style="thin">
          <color auto="1"/>
        </bottom>
      </border>
    </dxf>
    <dxf>
      <font>
        <b/>
        <i/>
        <color rgb="FFC00000"/>
      </font>
    </dxf>
    <dxf>
      <font>
        <b/>
        <i/>
        <color rgb="FFC00000"/>
      </font>
    </dxf>
    <dxf>
      <font>
        <b/>
        <color theme="1"/>
      </font>
      <fill>
        <patternFill>
          <bgColor rgb="FFFFA168"/>
        </patternFill>
      </fill>
    </dxf>
    <dxf>
      <font>
        <b/>
      </font>
      <fill>
        <patternFill>
          <bgColor rgb="FFFFA168"/>
        </patternFill>
      </fill>
      <border>
        <left style="thin">
          <color theme="1"/>
        </left>
        <right style="thin">
          <color theme="1"/>
        </right>
        <top style="thin">
          <color theme="1"/>
        </top>
        <bottom style="thin">
          <color theme="1"/>
        </bottom>
        <vertical/>
        <horizontal/>
      </border>
    </dxf>
    <dxf>
      <font>
        <b/>
        <i/>
        <color rgb="FFC00000"/>
      </font>
    </dxf>
    <dxf>
      <font>
        <b/>
        <i/>
        <color rgb="FFC00000"/>
      </font>
    </dxf>
    <dxf>
      <font>
        <b/>
        <i/>
        <color rgb="FFC00000"/>
      </font>
    </dxf>
    <dxf>
      <font>
        <b/>
        <i/>
        <color rgb="FFC00000"/>
      </font>
    </dxf>
    <dxf>
      <font>
        <b/>
      </font>
      <fill>
        <patternFill>
          <bgColor auto="1"/>
        </patternFill>
      </fill>
      <border>
        <left style="thin">
          <color auto="1"/>
        </left>
        <right style="thin">
          <color auto="1"/>
        </right>
        <top style="thin">
          <color auto="1"/>
        </top>
        <bottom style="thin">
          <color auto="1"/>
        </bottom>
      </border>
    </dxf>
    <dxf>
      <font>
        <b/>
        <color theme="1"/>
      </font>
      <fill>
        <patternFill>
          <bgColor rgb="FFFFA168"/>
        </patternFill>
      </fill>
    </dxf>
    <dxf>
      <font>
        <b/>
        <color theme="1"/>
      </font>
      <numFmt numFmtId="167" formatCode="&quot;$&quot;#,##0.00"/>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color theme="0"/>
      </font>
      <fill>
        <patternFill>
          <bgColor auto="1"/>
        </patternFill>
      </fill>
      <border>
        <left/>
        <right/>
        <top/>
        <bottom/>
      </border>
    </dxf>
    <dxf>
      <font>
        <color theme="0"/>
      </font>
      <fill>
        <patternFill>
          <bgColor auto="1"/>
        </patternFill>
      </fill>
      <border>
        <left/>
        <right/>
        <top/>
        <bottom/>
        <vertical/>
        <horizontal/>
      </border>
    </dxf>
    <dxf>
      <font>
        <color theme="0"/>
      </font>
      <fill>
        <patternFill>
          <bgColor theme="0"/>
        </patternFill>
      </fill>
      <border>
        <left/>
        <right/>
        <top style="thin">
          <color theme="1"/>
        </top>
        <bottom style="thin">
          <color theme="1"/>
        </bottom>
        <vertical/>
        <horizontal/>
      </border>
    </dxf>
    <dxf>
      <font>
        <color theme="0"/>
      </font>
      <border>
        <left/>
        <right/>
        <top/>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vertical/>
        <horizontal/>
      </border>
    </dxf>
    <dxf>
      <fill>
        <patternFill>
          <bgColor rgb="FFFFA168"/>
        </patternFill>
      </fill>
    </dxf>
    <dxf>
      <font>
        <b/>
      </font>
      <fill>
        <patternFill>
          <bgColor rgb="FFFFA168"/>
        </patternFill>
      </fill>
      <border>
        <left style="thin">
          <color auto="1"/>
        </left>
        <right style="thin">
          <color auto="1"/>
        </right>
        <top style="thin">
          <color auto="1"/>
        </top>
        <bottom style="thin">
          <color auto="1"/>
        </bottom>
      </border>
    </dxf>
    <dxf>
      <font>
        <b/>
        <i/>
        <color rgb="FFC00000"/>
      </font>
    </dxf>
    <dxf>
      <font>
        <b/>
        <i/>
        <color rgb="FFC00000"/>
      </font>
    </dxf>
    <dxf>
      <font>
        <b/>
        <color theme="1"/>
      </font>
      <fill>
        <patternFill>
          <bgColor rgb="FFFFA168"/>
        </patternFill>
      </fill>
    </dxf>
    <dxf>
      <font>
        <b/>
      </font>
      <fill>
        <patternFill>
          <bgColor rgb="FFFFA168"/>
        </patternFill>
      </fill>
      <border>
        <left style="thin">
          <color theme="1"/>
        </left>
        <right style="thin">
          <color theme="1"/>
        </right>
        <top style="thin">
          <color theme="1"/>
        </top>
        <bottom style="thin">
          <color theme="1"/>
        </bottom>
        <vertical/>
        <horizontal/>
      </border>
    </dxf>
    <dxf>
      <font>
        <b/>
        <i/>
        <color rgb="FFC00000"/>
      </font>
    </dxf>
    <dxf>
      <font>
        <b/>
        <i/>
        <color rgb="FFC00000"/>
      </font>
    </dxf>
    <dxf>
      <font>
        <b/>
        <i/>
        <color rgb="FFC00000"/>
      </font>
    </dxf>
    <dxf>
      <font>
        <b/>
        <i/>
        <color rgb="FFC00000"/>
      </font>
    </dxf>
    <dxf>
      <font>
        <b/>
      </font>
      <fill>
        <patternFill>
          <bgColor auto="1"/>
        </patternFill>
      </fill>
      <border>
        <left style="thin">
          <color auto="1"/>
        </left>
        <right style="thin">
          <color auto="1"/>
        </right>
        <top style="thin">
          <color auto="1"/>
        </top>
        <bottom style="thin">
          <color auto="1"/>
        </bottom>
      </border>
    </dxf>
    <dxf>
      <font>
        <b/>
        <color theme="1"/>
      </font>
      <fill>
        <patternFill>
          <bgColor rgb="FFFFA168"/>
        </patternFill>
      </fill>
    </dxf>
    <dxf>
      <font>
        <b/>
        <color theme="1"/>
      </font>
      <numFmt numFmtId="167" formatCode="&quot;$&quot;#,##0.00"/>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color theme="0"/>
      </font>
      <fill>
        <patternFill>
          <bgColor auto="1"/>
        </patternFill>
      </fill>
      <border>
        <left/>
        <right/>
        <top/>
        <bottom/>
      </border>
    </dxf>
    <dxf>
      <font>
        <color theme="0"/>
      </font>
      <fill>
        <patternFill>
          <bgColor auto="1"/>
        </patternFill>
      </fill>
      <border>
        <left/>
        <right/>
        <top/>
        <bottom/>
        <vertical/>
        <horizontal/>
      </border>
    </dxf>
    <dxf>
      <font>
        <color theme="0"/>
      </font>
      <fill>
        <patternFill>
          <bgColor theme="0"/>
        </patternFill>
      </fill>
      <border>
        <left/>
        <right/>
        <top style="thin">
          <color theme="1"/>
        </top>
        <bottom style="thin">
          <color theme="1"/>
        </bottom>
        <vertical/>
        <horizontal/>
      </border>
    </dxf>
    <dxf>
      <font>
        <color theme="0"/>
      </font>
      <border>
        <left/>
        <right/>
        <top/>
        <bottom/>
        <vertical/>
        <horizontal/>
      </border>
    </dxf>
    <dxf>
      <font>
        <color theme="0"/>
      </font>
      <fill>
        <patternFill patternType="none">
          <bgColor auto="1"/>
        </patternFill>
      </fill>
      <border>
        <left/>
        <right/>
        <top/>
        <bottom/>
      </border>
    </dxf>
    <dxf>
      <font>
        <color theme="0"/>
      </font>
      <fill>
        <patternFill>
          <bgColor theme="0"/>
        </patternFill>
      </fill>
      <border>
        <left/>
        <right/>
        <top/>
        <bottom/>
        <vertical/>
        <horizontal/>
      </border>
    </dxf>
    <dxf>
      <fill>
        <patternFill>
          <bgColor rgb="FFFFA168"/>
        </patternFill>
      </fill>
    </dxf>
    <dxf>
      <font>
        <b/>
      </font>
      <fill>
        <patternFill>
          <bgColor rgb="FFFFA168"/>
        </patternFill>
      </fill>
      <border>
        <left style="thin">
          <color auto="1"/>
        </left>
        <right style="thin">
          <color auto="1"/>
        </right>
        <top style="thin">
          <color auto="1"/>
        </top>
        <bottom style="thin">
          <color auto="1"/>
        </bottom>
      </border>
    </dxf>
    <dxf>
      <font>
        <b/>
        <i/>
        <color rgb="FFC00000"/>
      </font>
    </dxf>
    <dxf>
      <font>
        <b/>
        <i/>
        <color rgb="FFC00000"/>
      </font>
    </dxf>
    <dxf>
      <font>
        <b/>
        <color theme="1"/>
      </font>
      <fill>
        <patternFill>
          <bgColor rgb="FFFFA168"/>
        </patternFill>
      </fill>
    </dxf>
    <dxf>
      <font>
        <b/>
      </font>
      <fill>
        <patternFill>
          <bgColor rgb="FFFFA168"/>
        </patternFill>
      </fill>
      <border>
        <left style="thin">
          <color theme="1"/>
        </left>
        <right style="thin">
          <color theme="1"/>
        </right>
        <top style="thin">
          <color theme="1"/>
        </top>
        <bottom style="thin">
          <color theme="1"/>
        </bottom>
        <vertical/>
        <horizontal/>
      </border>
    </dxf>
    <dxf>
      <font>
        <b/>
        <i/>
        <color rgb="FFC00000"/>
      </font>
    </dxf>
    <dxf>
      <font>
        <color theme="0"/>
      </font>
      <fill>
        <patternFill patternType="none">
          <bgColor auto="1"/>
        </patternFill>
      </fill>
      <border>
        <left/>
        <right/>
        <top/>
        <bottom/>
        <vertical/>
        <horizontal/>
      </border>
    </dxf>
    <dxf>
      <font>
        <b/>
        <i/>
        <color rgb="FFC00000"/>
      </font>
    </dxf>
    <dxf>
      <font>
        <b/>
        <i/>
        <color rgb="FFC00000"/>
      </font>
    </dxf>
    <dxf>
      <font>
        <b/>
        <i/>
        <color rgb="FFC00000"/>
      </font>
    </dxf>
    <dxf>
      <font>
        <b/>
      </font>
      <fill>
        <patternFill>
          <bgColor auto="1"/>
        </patternFill>
      </fill>
      <border>
        <left style="thin">
          <color auto="1"/>
        </left>
        <right style="thin">
          <color auto="1"/>
        </right>
        <top style="thin">
          <color auto="1"/>
        </top>
        <bottom style="thin">
          <color auto="1"/>
        </bottom>
      </border>
    </dxf>
    <dxf>
      <font>
        <b/>
        <color theme="1"/>
      </font>
      <fill>
        <patternFill>
          <bgColor rgb="FFFFA168"/>
        </patternFill>
      </fill>
    </dxf>
    <dxf>
      <font>
        <b/>
        <color theme="1"/>
      </font>
      <numFmt numFmtId="167" formatCode="&quot;$&quot;#,##0.00"/>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color theme="0"/>
      </font>
      <fill>
        <patternFill>
          <bgColor auto="1"/>
        </patternFill>
      </fill>
      <border>
        <left/>
        <right/>
        <top/>
        <bottom/>
      </border>
    </dxf>
    <dxf>
      <font>
        <color theme="0"/>
      </font>
      <fill>
        <patternFill>
          <bgColor auto="1"/>
        </patternFill>
      </fill>
      <border>
        <left/>
        <right/>
        <top/>
        <bottom/>
        <vertical/>
        <horizontal/>
      </border>
    </dxf>
    <dxf>
      <font>
        <color theme="0"/>
      </font>
      <fill>
        <patternFill>
          <bgColor theme="0"/>
        </patternFill>
      </fill>
      <border>
        <left/>
        <right/>
        <top style="thin">
          <color theme="1"/>
        </top>
        <bottom style="thin">
          <color theme="1"/>
        </bottom>
        <vertical/>
        <horizontal/>
      </border>
    </dxf>
    <dxf>
      <font>
        <color theme="0"/>
      </font>
      <border>
        <left/>
        <right/>
        <top/>
        <bottom/>
        <vertical/>
        <horizontal/>
      </border>
    </dxf>
    <dxf>
      <font>
        <color theme="0"/>
      </font>
      <fill>
        <patternFill patternType="none">
          <bgColor auto="1"/>
        </patternFill>
      </fill>
      <border>
        <left/>
        <right/>
        <top/>
        <bottom/>
      </border>
    </dxf>
  </dxfs>
  <tableStyles count="1" defaultTableStyle="TableStyleMedium2" defaultPivotStyle="PivotStyleLight16">
    <tableStyle name="Invisible" pivot="0" table="0" count="0" xr9:uid="{00000000-0011-0000-FFFF-FFFF00000000}"/>
  </tableStyles>
  <colors>
    <mruColors>
      <color rgb="FFF4F1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https://prod-rf-lambda.rtssaas.com/PublicFiles/d89c47bd0d70402dba89b03a22bda6d1/2009aa19-c548-4aa0-9ad4-71b7e7507f12/20.2.92.html" TargetMode="External"/></Relationships>
</file>

<file path=xl/drawings/drawing1.xml><?xml version="1.0" encoding="utf-8"?>
<xdr:wsDr xmlns:xdr="http://schemas.openxmlformats.org/drawingml/2006/spreadsheetDrawing" xmlns:a="http://schemas.openxmlformats.org/drawingml/2006/main">
  <xdr:twoCellAnchor>
    <xdr:from>
      <xdr:col>13</xdr:col>
      <xdr:colOff>85726</xdr:colOff>
      <xdr:row>4</xdr:row>
      <xdr:rowOff>66675</xdr:rowOff>
    </xdr:from>
    <xdr:to>
      <xdr:col>14</xdr:col>
      <xdr:colOff>542926</xdr:colOff>
      <xdr:row>4</xdr:row>
      <xdr:rowOff>276225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DCF55CF-8F90-452B-B439-5450927BF9C0}"/>
            </a:ext>
          </a:extLst>
        </xdr:cNvPr>
        <xdr:cNvSpPr/>
      </xdr:nvSpPr>
      <xdr:spPr>
        <a:xfrm>
          <a:off x="7762876" y="828675"/>
          <a:ext cx="1047750" cy="1238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oneCellAnchor>
    <xdr:from>
      <xdr:col>18</xdr:col>
      <xdr:colOff>492125</xdr:colOff>
      <xdr:row>1</xdr:row>
      <xdr:rowOff>1</xdr:rowOff>
    </xdr:from>
    <xdr:ext cx="2286000" cy="1024756"/>
    <xdr:pic>
      <xdr:nvPicPr>
        <xdr:cNvPr id="3" name="Picture 2">
          <a:extLst>
            <a:ext uri="{FF2B5EF4-FFF2-40B4-BE49-F238E27FC236}">
              <a16:creationId xmlns:a16="http://schemas.microsoft.com/office/drawing/2014/main" id="{B5E39B43-9DBE-49FB-9C5C-76BA1CDB34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2025" y="190501"/>
          <a:ext cx="2286000" cy="10247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anka.kandel\Downloads\CTFP-EV-Charging-Credit-Revenue-Calculator%20(1).xlsx" TargetMode="External"/><Relationship Id="rId1" Type="http://schemas.openxmlformats.org/officeDocument/2006/relationships/externalLinkPath" Target="file:///C:\Users\tanka.kandel\Downloads\CTFP-EV-Charging-Credit-Revenue-Calculator%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lculator"/>
      <sheetName val="(A) Capacity and Use"/>
      <sheetName val="(B) CI Standard"/>
      <sheetName val="(C) StatewideGridAvg"/>
      <sheetName val="(D) GenMix_CI"/>
      <sheetName val="(E) EF_Tables"/>
      <sheetName val="(F) Credit Price_nom"/>
      <sheetName val="(G) Inflation"/>
      <sheetName val="(H) OptionLists"/>
    </sheetNames>
    <sheetDataSet>
      <sheetData sheetId="0" refreshError="1"/>
      <sheetData sheetId="1"/>
      <sheetData sheetId="2"/>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hyperlink" Target="https://docs.nlr.gov/docs/fy24osti/85902.pdf" TargetMode="External"/><Relationship Id="rId1" Type="http://schemas.openxmlformats.org/officeDocument/2006/relationships/hyperlink" Target="https://docs.nlr.gov/docs/fy24osti/85902.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cloud.env.nm.gov/resources/_translator.php/NzA3NTEwYzYzY2I0NzNhN2JmNDc3NGQ1NV8yMDMxMTU~.pdf" TargetMode="External"/><Relationship Id="rId1" Type="http://schemas.openxmlformats.org/officeDocument/2006/relationships/hyperlink" Target="https://www.env.nm.gov/opf/wp-content/uploads/sites/13/2025/11/NMED-R135-137.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philadelphiafed.org/surveys-and-data/real-time-data-research/spf-q4-2024" TargetMode="External"/><Relationship Id="rId2" Type="http://schemas.openxmlformats.org/officeDocument/2006/relationships/hyperlink" Target="https://www.env.nm.gov/opf/wp-content/uploads/sites/13/2025/11/NMED-R135-137.pdf" TargetMode="External"/><Relationship Id="rId1" Type="http://schemas.openxmlformats.org/officeDocument/2006/relationships/hyperlink" Target="https://cloud.env.nm.gov/resources/_translator.php/NzA3NTEwYzYzY2I0NzNhN2JmNDc3NGQ1NV8yMDMxMTU~.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cbo.gov/system/files/2026-02/61882-Outlook-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202DA-DCB5-4AE2-A3DC-76F5703CF819}">
  <sheetPr>
    <tabColor theme="1"/>
  </sheetPr>
  <dimension ref="A1:W64"/>
  <sheetViews>
    <sheetView tabSelected="1" zoomScaleNormal="100" workbookViewId="0">
      <selection activeCell="A2" sqref="A2"/>
    </sheetView>
  </sheetViews>
  <sheetFormatPr defaultColWidth="8.88671875" defaultRowHeight="14.4" x14ac:dyDescent="0.3"/>
  <cols>
    <col min="1" max="16384" width="8.88671875" style="20"/>
  </cols>
  <sheetData>
    <row r="1" spans="1:23" ht="18.600000000000001" x14ac:dyDescent="0.3">
      <c r="A1" s="93" t="s">
        <v>237</v>
      </c>
      <c r="B1" s="94"/>
      <c r="C1" s="94"/>
      <c r="D1" s="94"/>
      <c r="E1" s="94"/>
      <c r="F1" s="94"/>
      <c r="G1" s="94"/>
      <c r="H1" s="94"/>
      <c r="I1" s="94"/>
      <c r="J1" s="94"/>
      <c r="K1" s="94"/>
      <c r="L1" s="94"/>
      <c r="M1" s="94"/>
      <c r="N1" s="94"/>
      <c r="O1" s="94"/>
      <c r="P1" s="94"/>
      <c r="Q1" s="94"/>
      <c r="R1" s="94"/>
      <c r="S1" s="34"/>
      <c r="T1" s="34"/>
      <c r="U1" s="34"/>
      <c r="V1" s="34"/>
      <c r="W1" s="34"/>
    </row>
    <row r="2" spans="1:23" ht="4.2" customHeight="1" x14ac:dyDescent="0.3">
      <c r="A2" s="35"/>
      <c r="B2" s="36"/>
      <c r="C2" s="36"/>
      <c r="D2" s="36"/>
      <c r="E2" s="36"/>
      <c r="F2" s="36"/>
      <c r="G2" s="36"/>
      <c r="H2" s="36"/>
      <c r="I2" s="36"/>
      <c r="J2" s="36"/>
      <c r="K2" s="36"/>
      <c r="L2" s="36"/>
      <c r="M2" s="36"/>
      <c r="N2" s="36"/>
      <c r="O2" s="36"/>
      <c r="P2" s="36"/>
      <c r="Q2" s="36"/>
      <c r="R2" s="36"/>
      <c r="S2" s="36"/>
      <c r="T2" s="34"/>
      <c r="U2" s="34"/>
      <c r="V2" s="34"/>
      <c r="W2" s="34"/>
    </row>
    <row r="3" spans="1:23" s="33" customFormat="1" ht="16.2" x14ac:dyDescent="0.3">
      <c r="A3" s="37" t="s">
        <v>0</v>
      </c>
      <c r="B3" s="38"/>
      <c r="C3" s="38"/>
      <c r="D3" s="39"/>
      <c r="E3" s="39"/>
      <c r="F3" s="39"/>
      <c r="G3" s="39"/>
      <c r="H3" s="39"/>
      <c r="I3" s="39"/>
      <c r="J3" s="39"/>
      <c r="K3" s="39"/>
      <c r="L3" s="39"/>
      <c r="M3" s="39"/>
      <c r="N3" s="39"/>
      <c r="O3" s="39"/>
      <c r="P3" s="39"/>
      <c r="Q3" s="39"/>
      <c r="R3" s="39"/>
      <c r="S3" s="39"/>
      <c r="T3" s="39"/>
      <c r="U3" s="39"/>
      <c r="V3" s="39"/>
      <c r="W3" s="39"/>
    </row>
    <row r="4" spans="1:23" s="33" customFormat="1" ht="4.2" customHeight="1" x14ac:dyDescent="0.3">
      <c r="A4" s="39"/>
      <c r="B4" s="38"/>
      <c r="C4" s="39"/>
      <c r="D4" s="39"/>
      <c r="E4" s="39"/>
      <c r="F4" s="39"/>
      <c r="G4" s="39"/>
      <c r="H4" s="39"/>
      <c r="I4" s="39"/>
      <c r="J4" s="39"/>
      <c r="K4" s="39"/>
      <c r="L4" s="39"/>
      <c r="M4" s="39"/>
      <c r="N4" s="39"/>
      <c r="O4" s="39"/>
      <c r="P4" s="39"/>
      <c r="Q4" s="39"/>
      <c r="R4" s="39"/>
      <c r="S4" s="39"/>
      <c r="T4" s="39"/>
      <c r="U4" s="39"/>
      <c r="V4" s="39"/>
      <c r="W4" s="39"/>
    </row>
    <row r="5" spans="1:23" s="33" customFormat="1" ht="16.2" x14ac:dyDescent="0.3">
      <c r="A5" s="39"/>
      <c r="B5" s="38" t="s">
        <v>203</v>
      </c>
      <c r="C5" s="38"/>
      <c r="D5" s="39"/>
      <c r="E5" s="39"/>
      <c r="F5" s="39"/>
      <c r="G5" s="39"/>
      <c r="H5" s="39"/>
      <c r="I5" s="39"/>
      <c r="J5" s="39"/>
      <c r="K5" s="39"/>
      <c r="L5" s="39"/>
      <c r="M5" s="39"/>
      <c r="N5" s="39"/>
      <c r="O5" s="39"/>
      <c r="P5" s="39"/>
      <c r="Q5" s="39"/>
      <c r="R5" s="39"/>
      <c r="S5" s="39"/>
      <c r="T5" s="39"/>
      <c r="U5" s="39"/>
      <c r="V5" s="39"/>
      <c r="W5" s="39"/>
    </row>
    <row r="6" spans="1:23" s="33" customFormat="1" ht="16.2" x14ac:dyDescent="0.3">
      <c r="A6" s="39"/>
      <c r="B6" s="38" t="s">
        <v>1</v>
      </c>
      <c r="C6" s="39"/>
      <c r="D6" s="39"/>
      <c r="E6" s="39"/>
      <c r="F6" s="39"/>
      <c r="G6" s="39"/>
      <c r="H6" s="39"/>
      <c r="I6" s="39"/>
      <c r="J6" s="39"/>
      <c r="K6" s="39"/>
      <c r="L6" s="39"/>
      <c r="M6" s="39"/>
      <c r="N6" s="39"/>
      <c r="O6" s="39"/>
      <c r="P6" s="39"/>
      <c r="Q6" s="39"/>
      <c r="R6" s="39"/>
      <c r="S6" s="39"/>
      <c r="T6" s="39"/>
      <c r="U6" s="39"/>
      <c r="V6" s="39"/>
      <c r="W6" s="39"/>
    </row>
    <row r="7" spans="1:23" s="33" customFormat="1" ht="16.2" x14ac:dyDescent="0.3">
      <c r="A7" s="39"/>
      <c r="B7" s="38" t="s">
        <v>204</v>
      </c>
      <c r="C7" s="39"/>
      <c r="D7" s="39"/>
      <c r="E7" s="39"/>
      <c r="F7" s="39"/>
      <c r="G7" s="39"/>
      <c r="H7" s="39"/>
      <c r="I7" s="39"/>
      <c r="J7" s="39"/>
      <c r="K7" s="39"/>
      <c r="L7" s="39"/>
      <c r="M7" s="39"/>
      <c r="N7" s="39"/>
      <c r="O7" s="39"/>
      <c r="P7" s="39"/>
      <c r="Q7" s="39"/>
      <c r="R7" s="39"/>
      <c r="S7" s="39"/>
      <c r="T7" s="39"/>
      <c r="U7" s="39"/>
      <c r="V7" s="39"/>
      <c r="W7" s="39"/>
    </row>
    <row r="8" spans="1:23" s="33" customFormat="1" ht="4.2" customHeight="1" x14ac:dyDescent="0.3">
      <c r="A8" s="39"/>
      <c r="B8" s="38"/>
      <c r="C8" s="39"/>
      <c r="D8" s="39"/>
      <c r="E8" s="39"/>
      <c r="F8" s="39"/>
      <c r="G8" s="39"/>
      <c r="H8" s="39"/>
      <c r="I8" s="39"/>
      <c r="J8" s="39"/>
      <c r="K8" s="39"/>
      <c r="L8" s="39"/>
      <c r="M8" s="39"/>
      <c r="N8" s="39"/>
      <c r="O8" s="39"/>
      <c r="P8" s="39"/>
      <c r="Q8" s="39"/>
      <c r="R8" s="39"/>
      <c r="S8" s="39"/>
      <c r="T8" s="39"/>
      <c r="U8" s="39"/>
      <c r="V8" s="39"/>
      <c r="W8" s="39"/>
    </row>
    <row r="9" spans="1:23" s="33" customFormat="1" ht="16.2" x14ac:dyDescent="0.3">
      <c r="A9" s="37" t="s">
        <v>2</v>
      </c>
      <c r="B9" s="38"/>
      <c r="C9" s="38"/>
      <c r="D9" s="39"/>
      <c r="E9" s="39"/>
      <c r="F9" s="39"/>
      <c r="G9" s="39"/>
      <c r="H9" s="39"/>
      <c r="I9" s="39"/>
      <c r="J9" s="39"/>
      <c r="K9" s="39"/>
      <c r="L9" s="39"/>
      <c r="M9" s="39"/>
      <c r="N9" s="39"/>
      <c r="O9" s="39"/>
      <c r="P9" s="39"/>
      <c r="Q9" s="39"/>
      <c r="R9" s="39"/>
      <c r="S9" s="39"/>
      <c r="T9" s="39"/>
      <c r="U9" s="39"/>
      <c r="V9" s="39"/>
      <c r="W9" s="39"/>
    </row>
    <row r="10" spans="1:23" s="33" customFormat="1" ht="4.2" customHeight="1" x14ac:dyDescent="0.3">
      <c r="A10" s="39"/>
      <c r="B10" s="38"/>
      <c r="C10" s="39"/>
      <c r="D10" s="39"/>
      <c r="E10" s="39"/>
      <c r="F10" s="39"/>
      <c r="G10" s="39"/>
      <c r="H10" s="39"/>
      <c r="I10" s="39"/>
      <c r="J10" s="39"/>
      <c r="K10" s="39"/>
      <c r="L10" s="39"/>
      <c r="M10" s="39"/>
      <c r="N10" s="39"/>
      <c r="O10" s="39"/>
      <c r="P10" s="39"/>
      <c r="Q10" s="39"/>
      <c r="R10" s="39"/>
      <c r="S10" s="39"/>
      <c r="T10" s="39"/>
      <c r="U10" s="39"/>
      <c r="V10" s="39"/>
      <c r="W10" s="39"/>
    </row>
    <row r="11" spans="1:23" s="33" customFormat="1" ht="16.2" x14ac:dyDescent="0.3">
      <c r="A11" s="39"/>
      <c r="B11" s="38" t="s">
        <v>3</v>
      </c>
      <c r="C11" s="39"/>
      <c r="D11" s="39"/>
      <c r="E11" s="39"/>
      <c r="F11" s="39"/>
      <c r="G11" s="39"/>
      <c r="H11" s="39"/>
      <c r="I11" s="39"/>
      <c r="J11" s="39"/>
      <c r="K11" s="39"/>
      <c r="L11" s="39"/>
      <c r="M11" s="39"/>
      <c r="N11" s="39"/>
      <c r="O11" s="39"/>
      <c r="P11" s="39"/>
      <c r="Q11" s="39"/>
      <c r="R11" s="39"/>
      <c r="S11" s="39"/>
      <c r="T11" s="39"/>
      <c r="U11" s="39"/>
      <c r="V11" s="39"/>
      <c r="W11" s="39"/>
    </row>
    <row r="12" spans="1:23" s="33" customFormat="1" ht="16.2" x14ac:dyDescent="0.3">
      <c r="A12" s="39"/>
      <c r="B12" s="38" t="s">
        <v>184</v>
      </c>
      <c r="C12" s="39"/>
      <c r="D12" s="39"/>
      <c r="E12" s="39"/>
      <c r="F12" s="39"/>
      <c r="G12" s="39"/>
      <c r="H12" s="39"/>
      <c r="I12" s="39"/>
      <c r="J12" s="39"/>
      <c r="K12" s="39"/>
      <c r="L12" s="39"/>
      <c r="M12" s="39"/>
      <c r="N12" s="39"/>
      <c r="O12" s="39"/>
      <c r="P12" s="39"/>
      <c r="Q12" s="39"/>
      <c r="R12" s="39"/>
      <c r="S12" s="39"/>
      <c r="T12" s="39"/>
      <c r="U12" s="39"/>
      <c r="V12" s="39"/>
      <c r="W12" s="39"/>
    </row>
    <row r="13" spans="1:23" s="33" customFormat="1" ht="4.2" customHeight="1" x14ac:dyDescent="0.3">
      <c r="A13" s="39"/>
      <c r="B13" s="38"/>
      <c r="C13" s="39"/>
      <c r="D13" s="39"/>
      <c r="E13" s="39"/>
      <c r="F13" s="39"/>
      <c r="G13" s="39"/>
      <c r="H13" s="39"/>
      <c r="I13" s="39"/>
      <c r="J13" s="39"/>
      <c r="K13" s="39"/>
      <c r="L13" s="39"/>
      <c r="M13" s="39"/>
      <c r="N13" s="39"/>
      <c r="O13" s="39"/>
      <c r="P13" s="39"/>
      <c r="Q13" s="39"/>
      <c r="R13" s="39"/>
      <c r="S13" s="39"/>
      <c r="T13" s="39"/>
      <c r="U13" s="39"/>
      <c r="V13" s="39"/>
      <c r="W13" s="39"/>
    </row>
    <row r="14" spans="1:23" s="33" customFormat="1" ht="16.2" x14ac:dyDescent="0.3">
      <c r="A14" s="37" t="s">
        <v>4</v>
      </c>
      <c r="B14" s="38"/>
      <c r="C14" s="39"/>
      <c r="D14" s="39"/>
      <c r="E14" s="39"/>
      <c r="F14" s="39"/>
      <c r="G14" s="39"/>
      <c r="H14" s="39"/>
      <c r="I14" s="39"/>
      <c r="J14" s="39"/>
      <c r="K14" s="39"/>
      <c r="L14" s="39"/>
      <c r="M14" s="39"/>
      <c r="N14" s="39"/>
      <c r="O14" s="39"/>
      <c r="P14" s="39"/>
      <c r="Q14" s="39"/>
      <c r="R14" s="39"/>
      <c r="S14" s="39"/>
      <c r="T14" s="39"/>
      <c r="U14" s="39"/>
      <c r="V14" s="39"/>
      <c r="W14" s="39"/>
    </row>
    <row r="15" spans="1:23" s="33" customFormat="1" ht="4.2" customHeight="1" x14ac:dyDescent="0.3">
      <c r="A15" s="39"/>
      <c r="B15" s="38"/>
      <c r="C15" s="39"/>
      <c r="D15" s="39"/>
      <c r="E15" s="39"/>
      <c r="F15" s="39"/>
      <c r="G15" s="39"/>
      <c r="H15" s="39"/>
      <c r="I15" s="39"/>
      <c r="J15" s="39"/>
      <c r="K15" s="39"/>
      <c r="L15" s="39"/>
      <c r="M15" s="39"/>
      <c r="N15" s="39"/>
      <c r="O15" s="39"/>
      <c r="P15" s="39"/>
      <c r="Q15" s="39"/>
      <c r="R15" s="39"/>
      <c r="S15" s="39"/>
      <c r="T15" s="39"/>
      <c r="U15" s="39"/>
      <c r="V15" s="39"/>
      <c r="W15" s="39"/>
    </row>
    <row r="16" spans="1:23" s="33" customFormat="1" ht="16.2" x14ac:dyDescent="0.3">
      <c r="A16" s="40" t="s">
        <v>216</v>
      </c>
      <c r="B16" s="38"/>
      <c r="C16" s="39"/>
      <c r="D16" s="39"/>
      <c r="E16" s="39"/>
      <c r="F16" s="39"/>
      <c r="G16" s="39"/>
      <c r="H16" s="39"/>
      <c r="I16" s="39"/>
      <c r="J16" s="39"/>
      <c r="K16" s="39"/>
      <c r="L16" s="39"/>
      <c r="M16" s="39"/>
      <c r="N16" s="39"/>
      <c r="O16" s="39"/>
      <c r="P16" s="39"/>
      <c r="Q16" s="39"/>
      <c r="R16" s="39"/>
      <c r="S16" s="39"/>
      <c r="T16" s="39"/>
      <c r="U16" s="39"/>
      <c r="V16" s="39"/>
      <c r="W16" s="39"/>
    </row>
    <row r="17" spans="1:23" s="33" customFormat="1" ht="16.2" x14ac:dyDescent="0.3">
      <c r="A17" s="39"/>
      <c r="B17" s="38" t="s">
        <v>217</v>
      </c>
      <c r="C17" s="38"/>
      <c r="D17" s="39"/>
      <c r="E17" s="39"/>
      <c r="F17" s="39"/>
      <c r="G17" s="39"/>
      <c r="H17" s="39"/>
      <c r="I17" s="39"/>
      <c r="J17" s="39"/>
      <c r="K17" s="39"/>
      <c r="L17" s="39"/>
      <c r="M17" s="39"/>
      <c r="N17" s="39"/>
      <c r="O17" s="39"/>
      <c r="P17" s="39"/>
      <c r="Q17" s="39"/>
      <c r="R17" s="39"/>
      <c r="S17" s="39"/>
      <c r="T17" s="39"/>
      <c r="U17" s="39"/>
      <c r="V17" s="39"/>
      <c r="W17" s="39"/>
    </row>
    <row r="18" spans="1:23" s="33" customFormat="1" ht="16.2" x14ac:dyDescent="0.3">
      <c r="A18" s="39"/>
      <c r="C18" s="38" t="s">
        <v>218</v>
      </c>
      <c r="D18" s="39"/>
      <c r="E18" s="39"/>
      <c r="F18" s="39"/>
      <c r="G18" s="39"/>
      <c r="H18" s="39"/>
      <c r="I18" s="39"/>
      <c r="J18" s="39"/>
      <c r="K18" s="39"/>
      <c r="L18" s="39"/>
      <c r="M18" s="39"/>
      <c r="N18" s="39"/>
      <c r="O18" s="39"/>
      <c r="P18" s="39"/>
      <c r="Q18" s="39"/>
      <c r="R18" s="39"/>
      <c r="S18" s="39"/>
      <c r="T18" s="39"/>
      <c r="U18" s="39"/>
      <c r="V18" s="39"/>
      <c r="W18" s="39"/>
    </row>
    <row r="19" spans="1:23" s="33" customFormat="1" ht="16.2" x14ac:dyDescent="0.3">
      <c r="A19" s="39"/>
      <c r="B19" s="38" t="s">
        <v>219</v>
      </c>
      <c r="C19" s="39"/>
      <c r="D19" s="39"/>
      <c r="E19" s="39"/>
      <c r="F19" s="39"/>
      <c r="G19" s="39"/>
      <c r="H19" s="39"/>
      <c r="I19" s="39"/>
      <c r="J19" s="39"/>
      <c r="K19" s="39"/>
      <c r="L19" s="39"/>
      <c r="M19" s="39"/>
      <c r="N19" s="39"/>
      <c r="O19" s="39"/>
      <c r="P19" s="39"/>
      <c r="Q19" s="39"/>
      <c r="R19" s="39"/>
      <c r="S19" s="39"/>
      <c r="T19" s="39"/>
      <c r="U19" s="39"/>
      <c r="V19" s="39"/>
      <c r="W19" s="39"/>
    </row>
    <row r="20" spans="1:23" s="33" customFormat="1" ht="16.2" x14ac:dyDescent="0.3">
      <c r="A20" s="39"/>
      <c r="B20" s="38" t="s">
        <v>220</v>
      </c>
      <c r="C20" s="38"/>
      <c r="D20" s="39"/>
      <c r="E20" s="39"/>
      <c r="F20" s="39"/>
      <c r="G20" s="39"/>
      <c r="H20" s="39"/>
      <c r="I20" s="39"/>
      <c r="J20" s="39"/>
      <c r="K20" s="39"/>
      <c r="L20" s="39"/>
      <c r="M20" s="39"/>
      <c r="N20" s="39"/>
      <c r="O20" s="39"/>
      <c r="P20" s="39"/>
      <c r="Q20" s="39"/>
      <c r="R20" s="39"/>
      <c r="S20" s="39"/>
      <c r="T20" s="39"/>
      <c r="U20" s="39"/>
      <c r="V20" s="39"/>
      <c r="W20" s="39"/>
    </row>
    <row r="21" spans="1:23" s="33" customFormat="1" ht="16.2" x14ac:dyDescent="0.3">
      <c r="A21" s="39"/>
      <c r="B21" s="38" t="s">
        <v>221</v>
      </c>
      <c r="C21" s="38"/>
      <c r="D21" s="39"/>
      <c r="E21" s="39"/>
      <c r="F21" s="39"/>
      <c r="G21" s="39"/>
      <c r="H21" s="39"/>
      <c r="I21" s="39"/>
      <c r="J21" s="39"/>
      <c r="K21" s="39"/>
      <c r="L21" s="39"/>
      <c r="M21" s="39"/>
      <c r="N21" s="39"/>
      <c r="O21" s="39"/>
      <c r="P21" s="39"/>
      <c r="Q21" s="39"/>
      <c r="R21" s="39"/>
      <c r="S21" s="39"/>
      <c r="T21" s="39"/>
      <c r="U21" s="39"/>
      <c r="V21" s="39"/>
      <c r="W21" s="39"/>
    </row>
    <row r="22" spans="1:23" s="33" customFormat="1" ht="16.2" x14ac:dyDescent="0.3">
      <c r="A22" s="39"/>
      <c r="C22" s="38" t="s">
        <v>222</v>
      </c>
      <c r="D22" s="39"/>
      <c r="E22" s="39"/>
      <c r="F22" s="39"/>
      <c r="G22" s="39"/>
      <c r="H22" s="39"/>
      <c r="I22" s="39"/>
      <c r="J22" s="39"/>
      <c r="K22" s="39"/>
      <c r="L22" s="39"/>
      <c r="M22" s="39"/>
      <c r="N22" s="39"/>
      <c r="O22" s="39"/>
      <c r="P22" s="39"/>
      <c r="Q22" s="39"/>
      <c r="R22" s="39"/>
      <c r="S22" s="39"/>
      <c r="T22" s="39"/>
      <c r="U22" s="39"/>
      <c r="V22" s="39"/>
      <c r="W22" s="39"/>
    </row>
    <row r="23" spans="1:23" s="33" customFormat="1" ht="16.2" x14ac:dyDescent="0.3">
      <c r="A23" s="39"/>
      <c r="B23" s="38" t="s">
        <v>224</v>
      </c>
      <c r="C23" s="38"/>
      <c r="D23" s="39"/>
      <c r="E23" s="39"/>
      <c r="F23" s="39"/>
      <c r="G23" s="39"/>
      <c r="H23" s="39"/>
      <c r="I23" s="39"/>
      <c r="J23" s="39"/>
      <c r="K23" s="39"/>
      <c r="L23" s="39"/>
      <c r="M23" s="39"/>
      <c r="N23" s="39"/>
      <c r="O23" s="39"/>
      <c r="P23" s="39"/>
      <c r="Q23" s="39"/>
      <c r="R23" s="39"/>
      <c r="S23" s="39"/>
      <c r="T23" s="39"/>
      <c r="U23" s="39"/>
      <c r="V23" s="39"/>
      <c r="W23" s="39"/>
    </row>
    <row r="24" spans="1:23" s="33" customFormat="1" ht="16.2" x14ac:dyDescent="0.3">
      <c r="A24" s="39"/>
      <c r="C24" s="38" t="s">
        <v>223</v>
      </c>
      <c r="D24" s="39"/>
      <c r="E24" s="39"/>
      <c r="F24" s="39"/>
      <c r="G24" s="39"/>
      <c r="H24" s="39"/>
      <c r="I24" s="39"/>
      <c r="J24" s="39"/>
      <c r="K24" s="39"/>
      <c r="L24" s="39"/>
      <c r="M24" s="39"/>
      <c r="N24" s="39"/>
      <c r="O24" s="39"/>
      <c r="P24" s="39"/>
      <c r="Q24" s="39"/>
      <c r="R24" s="39"/>
      <c r="S24" s="39"/>
      <c r="T24" s="39"/>
      <c r="U24" s="39"/>
      <c r="V24" s="39"/>
      <c r="W24" s="39"/>
    </row>
    <row r="25" spans="1:23" s="33" customFormat="1" ht="4.2" customHeight="1" x14ac:dyDescent="0.3">
      <c r="A25" s="39"/>
      <c r="B25" s="38"/>
      <c r="C25" s="39"/>
      <c r="D25" s="39"/>
      <c r="E25" s="39"/>
      <c r="F25" s="39"/>
      <c r="G25" s="39"/>
      <c r="H25" s="39"/>
      <c r="I25" s="39"/>
      <c r="J25" s="39"/>
      <c r="K25" s="39"/>
      <c r="L25" s="39"/>
      <c r="M25" s="39"/>
      <c r="N25" s="39"/>
      <c r="O25" s="39"/>
      <c r="P25" s="39"/>
      <c r="Q25" s="39"/>
      <c r="R25" s="39"/>
      <c r="S25" s="39"/>
      <c r="T25" s="39"/>
      <c r="U25" s="39"/>
      <c r="V25" s="39"/>
      <c r="W25" s="39"/>
    </row>
    <row r="26" spans="1:23" s="33" customFormat="1" ht="16.2" x14ac:dyDescent="0.3">
      <c r="A26" s="40" t="s">
        <v>185</v>
      </c>
      <c r="B26" s="38"/>
      <c r="C26" s="39"/>
      <c r="D26" s="39"/>
      <c r="E26" s="39"/>
      <c r="F26" s="39"/>
      <c r="G26" s="39"/>
      <c r="H26" s="39"/>
      <c r="I26" s="39"/>
      <c r="J26" s="39"/>
      <c r="K26" s="39"/>
      <c r="L26" s="39"/>
      <c r="M26" s="39"/>
      <c r="N26" s="39"/>
      <c r="O26" s="39"/>
      <c r="P26" s="39"/>
      <c r="Q26" s="39"/>
      <c r="R26" s="39"/>
      <c r="S26" s="39"/>
      <c r="T26" s="39"/>
      <c r="U26" s="39"/>
      <c r="V26" s="39"/>
      <c r="W26" s="39"/>
    </row>
    <row r="27" spans="1:23" s="33" customFormat="1" ht="16.2" x14ac:dyDescent="0.3">
      <c r="A27" s="90" t="s">
        <v>205</v>
      </c>
      <c r="B27" s="38"/>
      <c r="C27" s="39"/>
      <c r="D27" s="39"/>
      <c r="E27" s="39"/>
      <c r="F27" s="39"/>
      <c r="G27" s="39"/>
      <c r="H27" s="39"/>
      <c r="I27" s="39"/>
      <c r="J27" s="39"/>
      <c r="K27" s="39"/>
      <c r="L27" s="39"/>
      <c r="M27" s="39"/>
      <c r="N27" s="39"/>
      <c r="O27" s="39"/>
      <c r="P27" s="39"/>
      <c r="Q27" s="39"/>
      <c r="R27" s="39"/>
      <c r="S27" s="39"/>
      <c r="T27" s="39"/>
      <c r="U27" s="39"/>
      <c r="V27" s="39"/>
      <c r="W27" s="39"/>
    </row>
    <row r="28" spans="1:23" s="33" customFormat="1" ht="16.2" x14ac:dyDescent="0.3">
      <c r="A28" s="39"/>
      <c r="B28" s="38" t="s">
        <v>209</v>
      </c>
      <c r="C28" s="38"/>
      <c r="D28" s="39"/>
      <c r="E28" s="39"/>
      <c r="F28" s="39"/>
      <c r="G28" s="39"/>
      <c r="H28" s="39"/>
      <c r="I28" s="39"/>
      <c r="J28" s="39"/>
      <c r="K28" s="39"/>
      <c r="L28" s="39"/>
      <c r="M28" s="39"/>
      <c r="N28" s="39"/>
      <c r="O28" s="39"/>
      <c r="P28" s="39"/>
      <c r="Q28" s="39"/>
      <c r="R28" s="39"/>
      <c r="S28" s="39"/>
      <c r="T28" s="39"/>
      <c r="U28" s="39"/>
      <c r="V28" s="39"/>
      <c r="W28" s="39"/>
    </row>
    <row r="29" spans="1:23" s="33" customFormat="1" ht="16.2" x14ac:dyDescent="0.3">
      <c r="A29" s="39"/>
      <c r="B29" s="38" t="s">
        <v>206</v>
      </c>
      <c r="C29" s="39"/>
      <c r="D29" s="39"/>
      <c r="E29" s="39"/>
      <c r="F29" s="39"/>
      <c r="G29" s="39"/>
      <c r="H29" s="39"/>
      <c r="I29" s="39"/>
      <c r="J29" s="39"/>
      <c r="K29" s="39"/>
      <c r="L29" s="39"/>
      <c r="M29" s="39"/>
      <c r="N29" s="39"/>
      <c r="O29" s="39"/>
      <c r="P29" s="39"/>
      <c r="Q29" s="39"/>
      <c r="R29" s="39"/>
      <c r="S29" s="39"/>
      <c r="T29" s="39"/>
      <c r="U29" s="39"/>
      <c r="V29" s="39"/>
      <c r="W29" s="39"/>
    </row>
    <row r="30" spans="1:23" s="33" customFormat="1" ht="16.2" x14ac:dyDescent="0.3">
      <c r="A30" s="39"/>
      <c r="B30" s="38" t="s">
        <v>207</v>
      </c>
      <c r="C30" s="38"/>
      <c r="D30" s="39"/>
      <c r="E30" s="39"/>
      <c r="F30" s="39"/>
      <c r="G30" s="39"/>
      <c r="H30" s="39"/>
      <c r="I30" s="39"/>
      <c r="J30" s="39"/>
      <c r="K30" s="39"/>
      <c r="L30" s="39"/>
      <c r="M30" s="39"/>
      <c r="N30" s="39"/>
      <c r="O30" s="39"/>
      <c r="P30" s="39"/>
      <c r="Q30" s="39"/>
      <c r="R30" s="39"/>
      <c r="S30" s="39"/>
      <c r="T30" s="39"/>
      <c r="U30" s="39"/>
      <c r="V30" s="39"/>
      <c r="W30" s="39"/>
    </row>
    <row r="31" spans="1:23" s="33" customFormat="1" ht="16.2" x14ac:dyDescent="0.3">
      <c r="A31" s="39"/>
      <c r="B31" s="38" t="s">
        <v>210</v>
      </c>
      <c r="C31" s="38"/>
      <c r="D31" s="39"/>
      <c r="E31" s="39"/>
      <c r="F31" s="39"/>
      <c r="G31" s="39"/>
      <c r="H31" s="39"/>
      <c r="I31" s="39"/>
      <c r="J31" s="39"/>
      <c r="K31" s="39"/>
      <c r="L31" s="39"/>
      <c r="M31" s="39"/>
      <c r="N31" s="39"/>
      <c r="O31" s="39"/>
      <c r="P31" s="39"/>
      <c r="Q31" s="39"/>
      <c r="R31" s="39"/>
      <c r="S31" s="39"/>
      <c r="T31" s="39"/>
      <c r="U31" s="39"/>
      <c r="V31" s="39"/>
      <c r="W31" s="39"/>
    </row>
    <row r="32" spans="1:23" s="33" customFormat="1" ht="16.2" x14ac:dyDescent="0.3">
      <c r="A32" s="39"/>
      <c r="C32" s="38" t="s">
        <v>208</v>
      </c>
      <c r="D32" s="39"/>
      <c r="E32" s="39"/>
      <c r="F32" s="39"/>
      <c r="G32" s="39"/>
      <c r="H32" s="39"/>
      <c r="I32" s="39"/>
      <c r="J32" s="39"/>
      <c r="K32" s="39"/>
      <c r="L32" s="39"/>
      <c r="M32" s="39"/>
      <c r="N32" s="39"/>
      <c r="O32" s="39"/>
      <c r="P32" s="39"/>
      <c r="Q32" s="39"/>
      <c r="R32" s="39"/>
      <c r="S32" s="39"/>
      <c r="T32" s="39"/>
      <c r="U32" s="39"/>
      <c r="V32" s="39"/>
      <c r="W32" s="39"/>
    </row>
    <row r="33" spans="1:23" s="33" customFormat="1" ht="5.4" customHeight="1" x14ac:dyDescent="0.3">
      <c r="A33" s="39"/>
      <c r="B33" s="38"/>
      <c r="C33" s="39"/>
      <c r="D33" s="39"/>
      <c r="E33" s="39"/>
      <c r="F33" s="39"/>
      <c r="G33" s="39"/>
      <c r="H33" s="39"/>
      <c r="I33" s="39"/>
      <c r="J33" s="39"/>
      <c r="K33" s="39"/>
      <c r="L33" s="39"/>
      <c r="M33" s="39"/>
      <c r="N33" s="39"/>
      <c r="O33" s="39"/>
      <c r="P33" s="39"/>
      <c r="Q33" s="39"/>
      <c r="R33" s="39"/>
      <c r="S33" s="39"/>
      <c r="T33" s="39"/>
      <c r="U33" s="39"/>
      <c r="V33" s="39"/>
      <c r="W33" s="39"/>
    </row>
    <row r="34" spans="1:23" s="33" customFormat="1" ht="16.2" customHeight="1" x14ac:dyDescent="0.3">
      <c r="A34" s="40" t="s">
        <v>186</v>
      </c>
      <c r="B34" s="38"/>
      <c r="C34" s="39"/>
      <c r="D34" s="39"/>
      <c r="E34" s="39"/>
      <c r="F34" s="39"/>
      <c r="G34" s="39"/>
      <c r="H34" s="39"/>
      <c r="I34" s="39"/>
      <c r="J34" s="39"/>
      <c r="K34" s="39"/>
      <c r="L34" s="39"/>
      <c r="M34" s="39"/>
      <c r="N34" s="39"/>
      <c r="O34" s="39"/>
      <c r="P34" s="39"/>
      <c r="Q34" s="39"/>
      <c r="R34" s="39"/>
      <c r="S34" s="39"/>
      <c r="T34" s="39"/>
      <c r="U34" s="39"/>
      <c r="V34" s="39"/>
      <c r="W34" s="39"/>
    </row>
    <row r="35" spans="1:23" s="33" customFormat="1" ht="16.2" customHeight="1" x14ac:dyDescent="0.3">
      <c r="A35" s="90" t="s">
        <v>211</v>
      </c>
      <c r="C35" s="38"/>
      <c r="D35" s="39"/>
      <c r="E35" s="39"/>
      <c r="F35" s="39"/>
      <c r="G35" s="39"/>
      <c r="H35" s="39"/>
      <c r="I35" s="39"/>
      <c r="J35" s="39"/>
      <c r="K35" s="39"/>
      <c r="L35" s="39"/>
      <c r="M35" s="39"/>
      <c r="N35" s="39"/>
      <c r="O35" s="39"/>
      <c r="P35" s="39"/>
      <c r="Q35" s="39"/>
      <c r="R35" s="39"/>
      <c r="S35" s="39"/>
      <c r="T35" s="39"/>
      <c r="U35" s="39"/>
      <c r="V35" s="39"/>
      <c r="W35" s="39"/>
    </row>
    <row r="36" spans="1:23" s="33" customFormat="1" ht="16.2" customHeight="1" x14ac:dyDescent="0.3">
      <c r="A36" s="39"/>
      <c r="B36" s="38" t="s">
        <v>212</v>
      </c>
      <c r="C36" s="39"/>
      <c r="D36" s="39"/>
      <c r="E36" s="39"/>
      <c r="F36" s="39"/>
      <c r="G36" s="39"/>
      <c r="H36" s="39"/>
      <c r="I36" s="39"/>
      <c r="J36" s="39"/>
      <c r="K36" s="39"/>
      <c r="L36" s="39"/>
      <c r="M36" s="39"/>
      <c r="N36" s="39"/>
      <c r="O36" s="39"/>
      <c r="P36" s="39"/>
      <c r="Q36" s="39"/>
      <c r="R36" s="39"/>
      <c r="S36" s="39"/>
      <c r="T36" s="39"/>
      <c r="U36" s="39"/>
      <c r="V36" s="39"/>
      <c r="W36" s="39"/>
    </row>
    <row r="37" spans="1:23" s="33" customFormat="1" ht="16.2" customHeight="1" x14ac:dyDescent="0.3">
      <c r="A37" s="39"/>
      <c r="B37" s="38" t="s">
        <v>213</v>
      </c>
      <c r="C37" s="38"/>
      <c r="D37" s="39"/>
      <c r="E37" s="39"/>
      <c r="F37" s="39"/>
      <c r="G37" s="39"/>
      <c r="H37" s="39"/>
      <c r="I37" s="39"/>
      <c r="J37" s="39"/>
      <c r="K37" s="39"/>
      <c r="L37" s="39"/>
      <c r="M37" s="39"/>
      <c r="N37" s="39"/>
      <c r="O37" s="39"/>
      <c r="P37" s="39"/>
      <c r="Q37" s="39"/>
      <c r="R37" s="39"/>
      <c r="S37" s="39"/>
      <c r="T37" s="39"/>
      <c r="U37" s="39"/>
      <c r="V37" s="39"/>
      <c r="W37" s="39"/>
    </row>
    <row r="38" spans="1:23" s="33" customFormat="1" ht="16.2" customHeight="1" x14ac:dyDescent="0.3">
      <c r="A38" s="39"/>
      <c r="B38" s="38" t="s">
        <v>150</v>
      </c>
      <c r="C38" s="38"/>
      <c r="D38" s="39"/>
      <c r="E38" s="39"/>
      <c r="F38" s="39"/>
      <c r="G38" s="39"/>
      <c r="H38" s="39"/>
      <c r="I38" s="39"/>
      <c r="J38" s="39"/>
      <c r="K38" s="39"/>
      <c r="L38" s="39"/>
      <c r="M38" s="39"/>
      <c r="N38" s="39"/>
      <c r="O38" s="39"/>
      <c r="P38" s="39"/>
      <c r="Q38" s="39"/>
      <c r="R38" s="39"/>
      <c r="S38" s="39"/>
      <c r="T38" s="39"/>
      <c r="U38" s="39"/>
      <c r="V38" s="39"/>
      <c r="W38" s="39"/>
    </row>
    <row r="39" spans="1:23" s="33" customFormat="1" ht="16.2" customHeight="1" x14ac:dyDescent="0.3">
      <c r="A39" s="39"/>
      <c r="B39" s="38"/>
      <c r="C39" s="38" t="s">
        <v>214</v>
      </c>
      <c r="D39" s="39"/>
      <c r="E39" s="39"/>
      <c r="F39" s="39"/>
      <c r="G39" s="39"/>
      <c r="H39" s="39"/>
      <c r="I39" s="39"/>
      <c r="J39" s="39"/>
      <c r="K39" s="39"/>
      <c r="L39" s="39"/>
      <c r="M39" s="39"/>
      <c r="N39" s="39"/>
      <c r="O39" s="39"/>
      <c r="P39" s="39"/>
      <c r="Q39" s="39"/>
      <c r="R39" s="39"/>
      <c r="S39" s="39"/>
      <c r="T39" s="39"/>
      <c r="U39" s="39"/>
      <c r="V39" s="39"/>
      <c r="W39" s="39"/>
    </row>
    <row r="40" spans="1:23" s="33" customFormat="1" ht="16.2" customHeight="1" x14ac:dyDescent="0.3">
      <c r="A40" s="39"/>
      <c r="B40" s="38" t="s">
        <v>215</v>
      </c>
      <c r="C40" s="38"/>
      <c r="D40" s="39"/>
      <c r="E40" s="39"/>
      <c r="F40" s="39"/>
      <c r="G40" s="39"/>
      <c r="H40" s="39"/>
      <c r="I40" s="39"/>
      <c r="J40" s="39"/>
      <c r="K40" s="39"/>
      <c r="L40" s="39"/>
      <c r="M40" s="39"/>
      <c r="N40" s="39"/>
      <c r="O40" s="39"/>
      <c r="P40" s="39"/>
      <c r="Q40" s="39"/>
      <c r="R40" s="39"/>
      <c r="S40" s="39"/>
      <c r="T40" s="39"/>
      <c r="U40" s="39"/>
      <c r="V40" s="39"/>
      <c r="W40" s="39"/>
    </row>
    <row r="41" spans="1:23" s="33" customFormat="1" ht="6" customHeight="1" x14ac:dyDescent="0.3">
      <c r="A41" s="39"/>
      <c r="B41" s="38"/>
      <c r="C41" s="39"/>
      <c r="D41" s="39"/>
      <c r="E41" s="39"/>
      <c r="F41" s="39"/>
      <c r="G41" s="39"/>
      <c r="H41" s="39"/>
      <c r="I41" s="39"/>
      <c r="J41" s="39"/>
      <c r="K41" s="39"/>
      <c r="L41" s="39"/>
      <c r="M41" s="39"/>
      <c r="N41" s="39"/>
      <c r="O41" s="39"/>
      <c r="P41" s="39"/>
      <c r="Q41" s="39"/>
      <c r="R41" s="39"/>
      <c r="S41" s="39"/>
      <c r="T41" s="39"/>
      <c r="U41" s="39"/>
      <c r="V41" s="39"/>
      <c r="W41" s="39"/>
    </row>
    <row r="42" spans="1:23" s="33" customFormat="1" ht="16.2" x14ac:dyDescent="0.3">
      <c r="A42" s="40" t="s">
        <v>226</v>
      </c>
      <c r="B42" s="38"/>
      <c r="C42" s="38"/>
      <c r="D42" s="39"/>
      <c r="E42" s="39"/>
      <c r="F42" s="39"/>
      <c r="G42" s="39"/>
      <c r="H42" s="39"/>
      <c r="I42" s="39"/>
      <c r="J42" s="39"/>
      <c r="K42" s="39"/>
      <c r="L42" s="39"/>
      <c r="M42" s="39"/>
      <c r="N42" s="39"/>
      <c r="O42" s="39"/>
      <c r="P42" s="39"/>
      <c r="Q42" s="39"/>
      <c r="R42" s="39"/>
      <c r="S42" s="39"/>
      <c r="T42" s="39"/>
      <c r="U42" s="39"/>
      <c r="V42" s="39"/>
      <c r="W42" s="39"/>
    </row>
    <row r="43" spans="1:23" s="33" customFormat="1" ht="16.2" x14ac:dyDescent="0.3">
      <c r="A43" s="39"/>
      <c r="B43" s="38" t="s">
        <v>227</v>
      </c>
      <c r="C43" s="39"/>
      <c r="D43" s="39"/>
      <c r="E43" s="39"/>
      <c r="F43" s="39"/>
      <c r="G43" s="39"/>
      <c r="H43" s="39"/>
      <c r="I43" s="39"/>
      <c r="J43" s="39"/>
      <c r="K43" s="39"/>
      <c r="L43" s="39"/>
      <c r="M43" s="39"/>
      <c r="N43" s="39"/>
      <c r="O43" s="39"/>
      <c r="P43" s="39"/>
      <c r="Q43" s="39"/>
      <c r="R43" s="39"/>
      <c r="S43" s="39"/>
      <c r="T43" s="39"/>
      <c r="U43" s="39"/>
      <c r="V43" s="39"/>
      <c r="W43" s="39"/>
    </row>
    <row r="44" spans="1:23" s="33" customFormat="1" ht="6" customHeight="1" x14ac:dyDescent="0.3">
      <c r="A44" s="39"/>
      <c r="B44" s="38"/>
      <c r="C44" s="39"/>
      <c r="D44" s="39"/>
      <c r="E44" s="39"/>
      <c r="F44" s="39"/>
      <c r="G44" s="39"/>
      <c r="H44" s="39"/>
      <c r="I44" s="39"/>
      <c r="J44" s="39"/>
      <c r="K44" s="39"/>
      <c r="L44" s="39"/>
      <c r="M44" s="39"/>
      <c r="N44" s="39"/>
      <c r="O44" s="39"/>
      <c r="P44" s="39"/>
      <c r="Q44" s="39"/>
      <c r="R44" s="39"/>
      <c r="S44" s="39"/>
      <c r="T44" s="39"/>
      <c r="U44" s="39"/>
      <c r="V44" s="39"/>
      <c r="W44" s="39"/>
    </row>
    <row r="45" spans="1:23" s="33" customFormat="1" ht="16.2" x14ac:dyDescent="0.3">
      <c r="A45" s="40" t="s">
        <v>144</v>
      </c>
      <c r="B45" s="38"/>
      <c r="C45" s="38"/>
      <c r="D45" s="39"/>
      <c r="E45" s="39"/>
      <c r="F45" s="39"/>
      <c r="G45" s="39"/>
      <c r="H45" s="39"/>
      <c r="I45" s="39"/>
      <c r="J45" s="39"/>
      <c r="K45" s="39"/>
      <c r="L45" s="39"/>
      <c r="M45" s="39"/>
      <c r="N45" s="39"/>
      <c r="O45" s="39"/>
      <c r="P45" s="39"/>
      <c r="Q45" s="39"/>
      <c r="R45" s="39"/>
      <c r="S45" s="39"/>
      <c r="T45" s="39"/>
      <c r="U45" s="39"/>
      <c r="V45" s="39"/>
      <c r="W45" s="39"/>
    </row>
    <row r="46" spans="1:23" s="33" customFormat="1" ht="16.2" x14ac:dyDescent="0.3">
      <c r="A46" s="39"/>
      <c r="B46" s="38" t="s">
        <v>145</v>
      </c>
      <c r="C46" s="39"/>
      <c r="D46" s="39"/>
      <c r="E46" s="39"/>
      <c r="F46" s="39"/>
      <c r="G46" s="39"/>
      <c r="H46" s="39"/>
      <c r="I46" s="39"/>
      <c r="J46" s="39"/>
      <c r="K46" s="39"/>
      <c r="L46" s="39"/>
      <c r="M46" s="39"/>
      <c r="N46" s="39"/>
      <c r="O46" s="39"/>
      <c r="P46" s="39"/>
      <c r="Q46" s="39"/>
      <c r="R46" s="39"/>
      <c r="S46" s="39"/>
      <c r="T46" s="39"/>
      <c r="U46" s="39"/>
      <c r="V46" s="39"/>
      <c r="W46" s="39"/>
    </row>
    <row r="47" spans="1:23" s="33" customFormat="1" ht="16.2" x14ac:dyDescent="0.3">
      <c r="A47" s="44"/>
      <c r="B47" s="38"/>
      <c r="C47" s="38" t="s">
        <v>187</v>
      </c>
      <c r="D47" s="39"/>
      <c r="E47" s="39"/>
      <c r="F47" s="39"/>
      <c r="G47" s="39"/>
      <c r="H47" s="39"/>
      <c r="I47" s="39"/>
      <c r="J47" s="39"/>
      <c r="K47" s="39"/>
      <c r="L47" s="39"/>
      <c r="M47" s="39"/>
      <c r="N47" s="39"/>
      <c r="O47" s="39"/>
      <c r="P47" s="39"/>
      <c r="Q47" s="39"/>
      <c r="R47" s="39"/>
      <c r="S47" s="39"/>
      <c r="T47" s="39"/>
      <c r="U47" s="39"/>
      <c r="V47" s="39"/>
      <c r="W47" s="39"/>
    </row>
    <row r="48" spans="1:23" s="33" customFormat="1" ht="16.2" x14ac:dyDescent="0.3">
      <c r="A48" s="44"/>
      <c r="B48" s="38"/>
      <c r="C48" s="38" t="s">
        <v>5</v>
      </c>
      <c r="D48" s="39"/>
      <c r="E48" s="39"/>
      <c r="F48" s="39"/>
      <c r="G48" s="39"/>
      <c r="H48" s="39"/>
      <c r="I48" s="39"/>
      <c r="J48" s="39"/>
      <c r="K48" s="39"/>
      <c r="L48" s="39"/>
      <c r="M48" s="39"/>
      <c r="N48" s="39"/>
      <c r="O48" s="39"/>
      <c r="P48" s="39"/>
      <c r="Q48" s="39"/>
      <c r="R48" s="39"/>
      <c r="S48" s="39"/>
      <c r="T48" s="39"/>
      <c r="U48" s="39"/>
      <c r="V48" s="39"/>
      <c r="W48" s="39"/>
    </row>
    <row r="49" spans="1:23" s="33" customFormat="1" ht="16.2" x14ac:dyDescent="0.3">
      <c r="A49" s="39"/>
      <c r="B49" s="38" t="s">
        <v>146</v>
      </c>
      <c r="C49" s="39"/>
      <c r="D49" s="39"/>
      <c r="E49" s="39"/>
      <c r="F49" s="39"/>
      <c r="G49" s="39"/>
      <c r="H49" s="39"/>
      <c r="I49" s="39"/>
      <c r="J49" s="39"/>
      <c r="K49" s="39"/>
      <c r="L49" s="39"/>
      <c r="M49" s="39"/>
      <c r="N49" s="39"/>
      <c r="O49" s="39"/>
      <c r="P49" s="39"/>
      <c r="Q49" s="39"/>
      <c r="R49" s="39"/>
      <c r="S49" s="39"/>
      <c r="T49" s="39"/>
      <c r="U49" s="39"/>
      <c r="V49" s="39"/>
      <c r="W49" s="39"/>
    </row>
    <row r="50" spans="1:23" s="33" customFormat="1" ht="16.2" x14ac:dyDescent="0.3">
      <c r="A50" s="39"/>
      <c r="B50" s="38" t="s">
        <v>228</v>
      </c>
      <c r="C50" s="39"/>
      <c r="D50" s="39"/>
      <c r="E50" s="39"/>
      <c r="F50" s="39"/>
      <c r="G50" s="39"/>
      <c r="H50" s="39"/>
      <c r="I50" s="39"/>
      <c r="J50" s="39"/>
      <c r="K50" s="39"/>
      <c r="L50" s="39"/>
      <c r="M50" s="39"/>
      <c r="N50" s="39"/>
      <c r="O50" s="39"/>
      <c r="P50" s="39"/>
      <c r="Q50" s="39"/>
      <c r="R50" s="39"/>
      <c r="S50" s="39"/>
      <c r="T50" s="39"/>
      <c r="U50" s="39"/>
      <c r="V50" s="39"/>
      <c r="W50" s="39"/>
    </row>
    <row r="51" spans="1:23" s="33" customFormat="1" ht="6" customHeight="1" x14ac:dyDescent="0.3">
      <c r="A51" s="39"/>
      <c r="B51" s="38"/>
      <c r="C51" s="39"/>
      <c r="D51" s="39"/>
      <c r="E51" s="39"/>
      <c r="F51" s="39"/>
      <c r="G51" s="39"/>
      <c r="H51" s="39"/>
      <c r="I51" s="39"/>
      <c r="J51" s="39"/>
      <c r="K51" s="39"/>
      <c r="L51" s="39"/>
      <c r="M51" s="39"/>
      <c r="N51" s="39"/>
      <c r="O51" s="39"/>
      <c r="P51" s="39"/>
      <c r="Q51" s="39"/>
      <c r="R51" s="39"/>
      <c r="S51" s="39"/>
      <c r="T51" s="39"/>
      <c r="U51" s="39"/>
      <c r="V51" s="39"/>
      <c r="W51" s="39"/>
    </row>
    <row r="52" spans="1:23" s="33" customFormat="1" ht="16.2" x14ac:dyDescent="0.3">
      <c r="A52" s="40" t="s">
        <v>230</v>
      </c>
      <c r="B52" s="38"/>
      <c r="C52" s="38"/>
      <c r="D52" s="39"/>
      <c r="E52" s="39"/>
      <c r="F52" s="39"/>
      <c r="G52" s="39"/>
      <c r="H52" s="39"/>
      <c r="I52" s="39"/>
      <c r="J52" s="39"/>
      <c r="K52" s="39"/>
      <c r="L52" s="39"/>
      <c r="M52" s="39"/>
      <c r="N52" s="39"/>
      <c r="O52" s="39"/>
      <c r="P52" s="39"/>
      <c r="Q52" s="39"/>
      <c r="R52" s="39"/>
      <c r="S52" s="39"/>
      <c r="T52" s="39"/>
      <c r="U52" s="39"/>
      <c r="V52" s="39"/>
      <c r="W52" s="39"/>
    </row>
    <row r="53" spans="1:23" s="33" customFormat="1" ht="16.2" x14ac:dyDescent="0.3">
      <c r="A53" s="39"/>
      <c r="B53" s="38" t="s">
        <v>231</v>
      </c>
      <c r="C53" s="39"/>
      <c r="D53" s="39"/>
      <c r="E53" s="39"/>
      <c r="F53" s="39"/>
      <c r="G53" s="39"/>
      <c r="H53" s="39"/>
      <c r="I53" s="39"/>
      <c r="J53" s="39"/>
      <c r="K53" s="39"/>
      <c r="L53" s="39"/>
      <c r="M53" s="39"/>
      <c r="N53" s="39"/>
      <c r="O53" s="39"/>
      <c r="P53" s="39"/>
      <c r="Q53" s="39"/>
      <c r="R53" s="39"/>
      <c r="S53" s="39"/>
      <c r="T53" s="39"/>
      <c r="U53" s="39"/>
      <c r="V53" s="39"/>
      <c r="W53" s="39"/>
    </row>
    <row r="54" spans="1:23" s="33" customFormat="1" ht="16.2" x14ac:dyDescent="0.3">
      <c r="A54" s="39"/>
      <c r="B54" s="38" t="s">
        <v>232</v>
      </c>
      <c r="C54" s="39"/>
      <c r="D54" s="39"/>
      <c r="E54" s="39"/>
      <c r="F54" s="39"/>
      <c r="G54" s="39"/>
      <c r="H54" s="39"/>
      <c r="I54" s="39"/>
      <c r="J54" s="39"/>
      <c r="K54" s="39"/>
      <c r="L54" s="39"/>
      <c r="M54" s="39"/>
      <c r="N54" s="39"/>
      <c r="O54" s="39"/>
      <c r="P54" s="39"/>
      <c r="Q54" s="39"/>
      <c r="R54" s="39"/>
      <c r="S54" s="39"/>
      <c r="T54" s="39"/>
      <c r="U54" s="39"/>
      <c r="V54" s="39"/>
      <c r="W54" s="39"/>
    </row>
    <row r="55" spans="1:23" s="33" customFormat="1" ht="16.2" x14ac:dyDescent="0.3">
      <c r="A55" s="39"/>
      <c r="B55" s="38"/>
      <c r="C55" s="38" t="s">
        <v>229</v>
      </c>
      <c r="D55" s="39"/>
      <c r="E55" s="39"/>
      <c r="F55" s="39"/>
      <c r="G55" s="39"/>
      <c r="H55" s="39"/>
      <c r="I55" s="39"/>
      <c r="J55" s="39"/>
      <c r="K55" s="39"/>
      <c r="L55" s="39"/>
      <c r="M55" s="39"/>
      <c r="N55" s="39"/>
      <c r="O55" s="39"/>
      <c r="P55" s="39"/>
      <c r="Q55" s="39"/>
      <c r="R55" s="39"/>
      <c r="S55" s="39"/>
      <c r="T55" s="39"/>
      <c r="U55" s="39"/>
      <c r="V55" s="39"/>
      <c r="W55" s="39"/>
    </row>
    <row r="56" spans="1:23" s="33" customFormat="1" ht="6" customHeight="1" x14ac:dyDescent="0.3">
      <c r="A56" s="39"/>
      <c r="B56" s="38"/>
      <c r="C56" s="39"/>
      <c r="D56" s="39"/>
      <c r="E56" s="39"/>
      <c r="F56" s="39"/>
      <c r="G56" s="39"/>
      <c r="H56" s="39"/>
      <c r="I56" s="39"/>
      <c r="J56" s="39"/>
      <c r="K56" s="39"/>
      <c r="L56" s="39"/>
      <c r="M56" s="39"/>
      <c r="N56" s="39"/>
      <c r="O56" s="39"/>
      <c r="P56" s="39"/>
      <c r="Q56" s="39"/>
      <c r="R56" s="39"/>
      <c r="S56" s="39"/>
      <c r="T56" s="39"/>
      <c r="U56" s="39"/>
      <c r="V56" s="39"/>
      <c r="W56" s="39"/>
    </row>
    <row r="57" spans="1:23" s="33" customFormat="1" ht="16.2" x14ac:dyDescent="0.3">
      <c r="A57" s="40" t="s">
        <v>235</v>
      </c>
      <c r="B57" s="38"/>
      <c r="C57" s="38"/>
      <c r="D57" s="39"/>
      <c r="E57" s="39"/>
      <c r="F57" s="39"/>
      <c r="G57" s="39"/>
      <c r="H57" s="39"/>
      <c r="I57" s="39"/>
      <c r="J57" s="39"/>
      <c r="K57" s="39"/>
      <c r="L57" s="39"/>
      <c r="M57" s="39"/>
      <c r="N57" s="39"/>
      <c r="O57" s="39"/>
      <c r="P57" s="39"/>
      <c r="Q57" s="39"/>
      <c r="R57" s="39"/>
      <c r="S57" s="39"/>
      <c r="T57" s="39"/>
      <c r="U57" s="39"/>
      <c r="V57" s="39"/>
      <c r="W57" s="39"/>
    </row>
    <row r="58" spans="1:23" s="33" customFormat="1" ht="16.2" customHeight="1" x14ac:dyDescent="0.3">
      <c r="A58" s="90" t="s">
        <v>233</v>
      </c>
      <c r="C58" s="38"/>
      <c r="D58" s="39"/>
      <c r="E58" s="39"/>
      <c r="F58" s="39"/>
      <c r="G58" s="39"/>
      <c r="H58" s="39"/>
      <c r="I58" s="39"/>
      <c r="J58" s="39"/>
      <c r="K58" s="39"/>
      <c r="L58" s="39"/>
      <c r="M58" s="39"/>
      <c r="N58" s="39"/>
      <c r="O58" s="39"/>
      <c r="P58" s="39"/>
      <c r="Q58" s="39"/>
      <c r="R58" s="39"/>
      <c r="S58" s="39"/>
      <c r="T58" s="39"/>
      <c r="U58" s="39"/>
      <c r="V58" s="39"/>
      <c r="W58" s="39"/>
    </row>
    <row r="59" spans="1:23" s="33" customFormat="1" ht="16.2" x14ac:dyDescent="0.3">
      <c r="A59" s="39"/>
      <c r="B59" s="38" t="s">
        <v>234</v>
      </c>
      <c r="C59" s="39"/>
      <c r="D59" s="39"/>
      <c r="E59" s="39"/>
      <c r="F59" s="39"/>
      <c r="G59" s="39"/>
      <c r="H59" s="39"/>
      <c r="I59" s="39"/>
      <c r="J59" s="39"/>
      <c r="K59" s="39"/>
      <c r="L59" s="39"/>
      <c r="M59" s="39"/>
      <c r="N59" s="39"/>
      <c r="O59" s="39"/>
      <c r="P59" s="39"/>
      <c r="Q59" s="39"/>
      <c r="R59" s="39"/>
      <c r="S59" s="39"/>
      <c r="T59" s="39"/>
      <c r="U59" s="39"/>
      <c r="V59" s="39"/>
      <c r="W59" s="39"/>
    </row>
    <row r="60" spans="1:23" x14ac:dyDescent="0.3">
      <c r="A60" s="34"/>
      <c r="B60" s="34"/>
      <c r="C60" s="34"/>
      <c r="D60" s="34"/>
      <c r="E60" s="34"/>
      <c r="F60" s="34"/>
      <c r="G60" s="34"/>
      <c r="H60" s="34"/>
      <c r="I60" s="34"/>
      <c r="J60" s="34"/>
      <c r="K60" s="34"/>
      <c r="L60" s="34"/>
      <c r="M60" s="34"/>
      <c r="N60" s="34"/>
      <c r="O60" s="34"/>
      <c r="P60" s="34"/>
      <c r="Q60" s="34"/>
      <c r="R60" s="34"/>
      <c r="S60" s="34"/>
      <c r="T60" s="34"/>
      <c r="U60" s="34"/>
      <c r="V60" s="34"/>
      <c r="W60" s="34"/>
    </row>
    <row r="61" spans="1:23" x14ac:dyDescent="0.3">
      <c r="A61" s="34"/>
      <c r="B61" s="34"/>
      <c r="C61" s="34"/>
      <c r="D61" s="34"/>
      <c r="E61" s="34"/>
      <c r="F61" s="34"/>
      <c r="G61" s="34"/>
      <c r="H61" s="34"/>
      <c r="I61" s="34"/>
      <c r="J61" s="34"/>
      <c r="K61" s="34"/>
      <c r="L61" s="34"/>
      <c r="M61" s="34"/>
      <c r="N61" s="34"/>
      <c r="O61" s="34"/>
      <c r="P61" s="34"/>
      <c r="Q61" s="34"/>
      <c r="R61" s="34"/>
      <c r="S61" s="34"/>
      <c r="T61" s="34"/>
      <c r="U61" s="34"/>
      <c r="V61" s="34"/>
      <c r="W61" s="34"/>
    </row>
    <row r="62" spans="1:23" x14ac:dyDescent="0.3">
      <c r="A62" s="34"/>
      <c r="B62" s="34"/>
      <c r="C62" s="34"/>
      <c r="D62" s="34"/>
      <c r="E62" s="34"/>
      <c r="F62" s="34"/>
      <c r="G62" s="34"/>
      <c r="H62" s="34"/>
      <c r="I62" s="34"/>
      <c r="J62" s="34"/>
      <c r="K62" s="34"/>
      <c r="L62" s="34"/>
      <c r="M62" s="34"/>
      <c r="N62" s="34"/>
      <c r="O62" s="34"/>
      <c r="P62" s="34"/>
      <c r="Q62" s="34"/>
      <c r="R62" s="34"/>
      <c r="S62" s="34"/>
      <c r="T62" s="34"/>
      <c r="U62" s="34"/>
      <c r="V62" s="34"/>
      <c r="W62" s="34"/>
    </row>
    <row r="63" spans="1:23" x14ac:dyDescent="0.3">
      <c r="A63" s="34"/>
      <c r="B63" s="34"/>
      <c r="C63" s="34"/>
      <c r="D63" s="34"/>
      <c r="E63" s="34"/>
      <c r="F63" s="34"/>
      <c r="G63" s="34"/>
      <c r="H63" s="34"/>
      <c r="I63" s="34"/>
      <c r="J63" s="34"/>
      <c r="K63" s="34"/>
      <c r="L63" s="34"/>
      <c r="M63" s="34"/>
      <c r="N63" s="34"/>
      <c r="O63" s="34"/>
      <c r="P63" s="34"/>
      <c r="Q63" s="34"/>
      <c r="R63" s="34"/>
      <c r="S63" s="34"/>
      <c r="T63" s="34"/>
      <c r="U63" s="34"/>
      <c r="V63" s="34"/>
      <c r="W63" s="34"/>
    </row>
    <row r="64" spans="1:23" ht="16.8" x14ac:dyDescent="0.3">
      <c r="A64" s="113" t="s">
        <v>6</v>
      </c>
      <c r="B64" s="114"/>
      <c r="C64" s="114" t="s">
        <v>7</v>
      </c>
      <c r="D64" s="114"/>
      <c r="E64" s="114"/>
      <c r="F64" s="114"/>
      <c r="G64" s="114"/>
      <c r="H64" s="114"/>
      <c r="I64" s="114"/>
      <c r="J64" s="114"/>
      <c r="K64" s="114"/>
      <c r="L64" s="114"/>
      <c r="M64" s="114"/>
      <c r="N64" s="114"/>
      <c r="O64" s="114"/>
      <c r="P64" s="114"/>
      <c r="Q64" s="114"/>
      <c r="R64" s="114"/>
      <c r="S64" s="114"/>
      <c r="T64" s="34"/>
      <c r="U64" s="34"/>
      <c r="V64" s="34"/>
      <c r="W64" s="34"/>
    </row>
  </sheetData>
  <mergeCells count="2">
    <mergeCell ref="A64:S64"/>
    <mergeCell ref="A1:R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541"/>
  </sheetPr>
  <dimension ref="A1:L44"/>
  <sheetViews>
    <sheetView zoomScaleNormal="100" workbookViewId="0">
      <selection activeCell="H11" sqref="H11"/>
    </sheetView>
  </sheetViews>
  <sheetFormatPr defaultColWidth="8.88671875" defaultRowHeight="16.8" x14ac:dyDescent="0.3"/>
  <cols>
    <col min="1" max="1" width="45.33203125" style="28" customWidth="1"/>
    <col min="2" max="2" width="44.109375" style="29" customWidth="1"/>
    <col min="3" max="3" width="20" style="28" bestFit="1" customWidth="1"/>
    <col min="4" max="4" width="2.6640625" style="28" customWidth="1"/>
    <col min="5" max="5" width="25.6640625" style="29" customWidth="1"/>
    <col min="6" max="6" width="13.5546875" style="29" customWidth="1"/>
    <col min="7" max="7" width="13.109375" style="29" bestFit="1" customWidth="1"/>
    <col min="8" max="8" width="15" style="29" customWidth="1"/>
    <col min="9" max="9" width="14.5546875" style="29" customWidth="1"/>
    <col min="10" max="10" width="11.88671875" style="29" customWidth="1"/>
    <col min="11" max="11" width="13.44140625" style="28" customWidth="1"/>
    <col min="12" max="12" width="12.44140625" style="28" customWidth="1"/>
    <col min="13" max="13" width="8.88671875" style="28" customWidth="1"/>
    <col min="14" max="16384" width="8.88671875" style="28"/>
  </cols>
  <sheetData>
    <row r="1" spans="1:12" ht="19.5" customHeight="1" x14ac:dyDescent="0.3">
      <c r="A1" s="93" t="s">
        <v>8</v>
      </c>
      <c r="B1" s="94"/>
      <c r="C1" s="94"/>
      <c r="D1" s="94"/>
      <c r="E1" s="94"/>
      <c r="F1" s="94"/>
      <c r="G1" s="94"/>
      <c r="H1" s="94"/>
      <c r="I1" s="94"/>
      <c r="J1" s="94"/>
    </row>
    <row r="2" spans="1:12" ht="18.75" customHeight="1" x14ac:dyDescent="0.3">
      <c r="A2" s="95" t="s">
        <v>192</v>
      </c>
      <c r="B2" s="96"/>
      <c r="C2" s="96"/>
      <c r="D2" s="96"/>
      <c r="E2" s="96"/>
      <c r="F2" s="96"/>
      <c r="G2" s="96"/>
      <c r="H2" s="96"/>
      <c r="I2" s="96"/>
      <c r="J2" s="96"/>
    </row>
    <row r="3" spans="1:12" ht="4.2" customHeight="1" thickBot="1" x14ac:dyDescent="0.35">
      <c r="A3" s="22"/>
      <c r="B3" s="23"/>
      <c r="C3" s="23"/>
      <c r="D3" s="23"/>
      <c r="E3" s="23"/>
      <c r="F3" s="23"/>
      <c r="G3" s="23"/>
      <c r="H3" s="23"/>
      <c r="I3" s="23"/>
      <c r="J3" s="23"/>
    </row>
    <row r="4" spans="1:12" s="21" customFormat="1" ht="16.2" customHeight="1" thickBot="1" x14ac:dyDescent="0.35">
      <c r="A4" s="105" t="s">
        <v>9</v>
      </c>
      <c r="B4" s="106"/>
      <c r="E4" s="97" t="s">
        <v>10</v>
      </c>
      <c r="F4" s="98"/>
      <c r="G4" s="98"/>
      <c r="H4" s="98"/>
      <c r="I4" s="98"/>
      <c r="J4" s="98"/>
    </row>
    <row r="5" spans="1:12" s="21" customFormat="1" ht="16.2" customHeight="1" x14ac:dyDescent="0.3">
      <c r="A5" s="111" t="s">
        <v>11</v>
      </c>
      <c r="B5" s="112"/>
      <c r="E5" s="91" t="s">
        <v>12</v>
      </c>
      <c r="F5" s="81" t="s">
        <v>193</v>
      </c>
      <c r="G5" s="81" t="s">
        <v>13</v>
      </c>
      <c r="H5" s="82" t="s">
        <v>191</v>
      </c>
      <c r="I5" s="82" t="s">
        <v>14</v>
      </c>
      <c r="J5" s="81" t="s">
        <v>15</v>
      </c>
    </row>
    <row r="6" spans="1:12" s="21" customFormat="1" ht="16.2" customHeight="1" x14ac:dyDescent="0.3">
      <c r="A6" s="103" t="s">
        <v>16</v>
      </c>
      <c r="B6" s="104"/>
      <c r="E6" s="92"/>
      <c r="F6" s="81" t="s">
        <v>194</v>
      </c>
      <c r="G6" s="81" t="s">
        <v>195</v>
      </c>
      <c r="H6" s="82" t="s">
        <v>196</v>
      </c>
      <c r="I6" s="82" t="s">
        <v>197</v>
      </c>
      <c r="J6" s="81" t="s">
        <v>198</v>
      </c>
      <c r="K6" s="25" t="str">
        <f>IF(B16="Manual (Different annual CIs)","Annual CIs","")</f>
        <v/>
      </c>
      <c r="L6" s="25" t="str">
        <f>IF(B20="Manual (Different annual prices)","Annual prices","")</f>
        <v/>
      </c>
    </row>
    <row r="7" spans="1:12" s="21" customFormat="1" ht="16.2" customHeight="1" thickBot="1" x14ac:dyDescent="0.45">
      <c r="A7" s="107" t="s">
        <v>17</v>
      </c>
      <c r="B7" s="108"/>
      <c r="E7" s="81" cm="1">
        <f t="array" ref="E7">IF(B$19="All Years",INDEX(Years,ROW()-6),IF(C19="","Populate cell C18",C19))</f>
        <v>2026</v>
      </c>
      <c r="F7" s="83">
        <f>IF(AND($B$14="Manual",$C$14=""),"Populate Cell C14",IF(AND($B$15="Manual",$C$15=""),"Populate Cell C15",IF($B$14="Manual",$C$14,$B$14)/1000*IF($B$15="Manual",$C$15,$B$15)*IFERROR((DATE(E7+1,1,1)-DATE(E7,1,1)),366)*$B$13))</f>
        <v>41.0625</v>
      </c>
      <c r="G7" s="84">
        <f>IF(E7="","",IF(AND($B$16='(H) OptionLists'!$C$14,$C$16=""),"Populate Cell C16",IF($B$16='(H) OptionLists'!$C$5,IF(AND(B$17='(H) OptionLists'!$H$7,C$17=""),"Populate Cell C17",ROUND(StateGridAvg_2026*(IF(B$17='(H) OptionLists'!$H$5,VLOOKUP(E7,'(E) StatewideChange'!$B$5:$C$19,2,FALSE)/VLOOKUP(2026,'(E) StatewideChange'!$B$5:$C$19,2,FALSE),IF(B$17='(H) OptionLists'!$H$8,1,IF(B$17='(H) OptionLists'!$H$6,VLOOKUP(2026,'(E) StatewideChange'!$B$5:$C$19,2,FALSE)/VLOOKUP(E7,'(E) StatewideChange'!$B$5:$C$19,2,FALSE)*(2040-VALUE(LEFT(E7,4)))/(2040-2026),IF(B$17='(H) OptionLists'!$H$7,(1+C$17)^(VALUE(LEFT(E7,4))-2026),1))))),2)),IF($B$16='(H) OptionLists'!$C$14,IF(AND(B$17='(H) OptionLists'!$H$7,C$17=""),"Populate Cell C17",ROUND($C$16*(IF(B$17='(H) OptionLists'!$H$5,VLOOKUP(E7,'(E) StatewideChange'!$B$5:$C$19,2,FALSE)/VLOOKUP(2026,'(E) StatewideChange'!$B$5:$C$19,2,FALSE),IF(B$17='(H) OptionLists'!$H$8,1,IF(B$17='(H) OptionLists'!$H$6,(2040-VALUE(LEFT(E7,4)))/(2040-2026),IF(B$17='(H) OptionLists'!$H$7,(1+C$17)^(VALUE(LEFT(E7,4))-2026),1))))),2)),IF(B$16='(H) OptionLists'!$C$15,IF(K7="","Populate Column K",ROUND(K7,2)),IF(AND(B$17='(H) OptionLists'!$H$7,C$17=""),"Populate Cell C17",IFERROR(ROUND(VLOOKUP($B$16,EDU_CI_Lookup,2,FALSE)*(IF(B$17='(H) OptionLists'!$H$5,VLOOKUP(E7,'(E) StatewideChange'!$B$5:$C$19,2,FALSE)/VLOOKUP(2026,'(E) StatewideChange'!$B$5:$C$19,2,FALSE),IF(B$17='(H) OptionLists'!$H$8,1,IF(B$17='(H) OptionLists'!$H$6,(2040-VALUE(LEFT(E7,4)))/(2040-2026),IF(B$17='(H) OptionLists'!$H$7,(1+C$17)^(VALUE(LEFT(E7,4))-2026),1))))),2),"Select valid EDU option")))))))</f>
        <v>117.5</v>
      </c>
      <c r="H7" s="83">
        <f>IF(LEFT(F7,3)="Pop",F7,IF(LEFT(G7,3)="Pop",G7,IFERROR(IF(E7="","",ROUND((IF($B$12="Light-medium-duty (14k pounds or less)",3.4,5)*VLOOKUP(E7,'(B) CI Standard'!$B$5:$D$19,IF($B$12="Light-medium-duty (14k pounds or less)",2,3),FALSE)-G7)*3.6/1000*F7,0)),"")))</f>
        <v>30</v>
      </c>
      <c r="I7" s="85">
        <f t="array" ref="I7">IF(E7="","",_xlfn.IFNA(IF(B$20='(H) OptionLists'!$E$7,IF(C$20="","Populate Cell C20",ROUND(C$20*IF($B$21="Nominal",1,INDEX('(G) Inflation'!$C$12:$N$16,MATCH($B$22,'(G) Inflation'!$B$12:$B$16,0),MATCH($C$21,'(F) Credit Price_nom'!$C$5:$Q$5,0))/INDEX('(G) Inflation'!$C$12:$N$16,MATCH($B$22,'(G) Inflation'!$B$12:$B$16,0),MATCH($E$7,'(F) Credit Price_nom'!$C$5:$Q$5,0))),2)),IF(B$20='(H) OptionLists'!$E$8,IF(L7="","Populate Column L",L7),ROUND(INDEX('(F) Credit Price_nom'!$C$6:$Q$7,MATCH($B$20,'(F) Credit Price_nom'!$B$6:$B$7,0),MATCH(E7,'(F) Credit Price_nom'!$C$5:$Q$5,0))*IF($B$21="Nominal",1,INDEX('(G) Inflation'!$C$12:$R$16,MATCH($B$22,'(G) Inflation'!$B$12:$B$16,0),MATCH(E7,'(G) Inflation'!$C$11:$R$11,0))/INDEX('(G) Inflation'!$C$12:$R$16,MATCH($B$22,'(G) Inflation'!$B$12:$B$16,0),MATCH(E7,'(G) Inflation'!$C$11:$R$11,0))),2))),IF(AND($B$19="single year",$C$19=""),"Populate Cell C19",IF(AND($B$21="Real (input dollar year in Column C)",$C$21=""),"Populate Cell C21","Check Cells C18:C21"))))</f>
        <v>91.27</v>
      </c>
      <c r="J7" s="86">
        <f>IF(LEFT(H7,3)="Pop",H7,IF(LEFT(I7,3)="Pop",I7,H7*I7))</f>
        <v>2738.1</v>
      </c>
      <c r="K7" s="89"/>
      <c r="L7" s="24"/>
    </row>
    <row r="8" spans="1:12" s="21" customFormat="1" ht="16.2" customHeight="1" x14ac:dyDescent="0.4">
      <c r="B8" s="25"/>
      <c r="E8" s="81" cm="1">
        <f t="array" ref="E8">IF(B$19="All Years",INDEX(Years,ROW()-6),"")</f>
        <v>2027</v>
      </c>
      <c r="F8" s="83">
        <f t="shared" ref="F8:F21" si="0">IF(AND($B$14="Manual",$C$14=""),"Populate Cell C14",IF(AND($B$15="Manual",$C$15=""),"Populate Cell C15",IF($B$14="Manual",$C$14,$B$14)/1000*IF($B$15="Manual",$C$15,$B$15)*IFERROR((DATE(E8+1,1,1)-DATE(E8,1,1)),366)*$B$13))</f>
        <v>41.0625</v>
      </c>
      <c r="G8" s="84">
        <f>IF(E8="","",IF(AND($B$16='(H) OptionLists'!$C$14,$C$16=""),"Populate Cell C16",IF($B$16='(H) OptionLists'!$C$5,IF(AND(B$17='(H) OptionLists'!$H$7,C$17=""),"Populate Cell C17",ROUND(StateGridAvg_2026*(IF(B$17='(H) OptionLists'!$H$5,VLOOKUP(E8,'(E) StatewideChange'!$B$5:$C$19,2,FALSE)/VLOOKUP(2026,'(E) StatewideChange'!$B$5:$C$19,2,FALSE),IF(B$17='(H) OptionLists'!$H$8,1,IF(B$17='(H) OptionLists'!$H$6,VLOOKUP(2026,'(E) StatewideChange'!$B$5:$C$19,2,FALSE)/VLOOKUP(E8,'(E) StatewideChange'!$B$5:$C$19,2,FALSE)*(2040-VALUE(LEFT(E8,4)))/(2040-2026),IF(B$17='(H) OptionLists'!$H$7,(1+C$17)^(VALUE(LEFT(E8,4))-2026),1))))),2)),IF($B$16='(H) OptionLists'!$C$14,IF(AND(B$17='(H) OptionLists'!$H$7,C$17=""),"Populate Cell C17",ROUND($C$16*(IF(B$17='(H) OptionLists'!$H$5,VLOOKUP(E8,'(E) StatewideChange'!$B$5:$C$19,2,FALSE)/VLOOKUP(2026,'(E) StatewideChange'!$B$5:$C$19,2,FALSE),IF(B$17='(H) OptionLists'!$H$8,1,IF(B$17='(H) OptionLists'!$H$6,(2040-VALUE(LEFT(E8,4)))/(2040-2026),IF(B$17='(H) OptionLists'!$H$7,(1+C$17)^(VALUE(LEFT(E8,4))-2026),1))))),2)),IF(B$16='(H) OptionLists'!$C$15,IF(K8="","Populate Column K",ROUND(K8,2)),IF(AND(B$17='(H) OptionLists'!$H$7,C$17=""),"Populate Cell C17",IFERROR(ROUND(VLOOKUP($B$16,EDU_CI_Lookup,2,FALSE)*(IF(B$17='(H) OptionLists'!$H$5,VLOOKUP(E8,'(E) StatewideChange'!$B$5:$C$19,2,FALSE)/VLOOKUP(2026,'(E) StatewideChange'!$B$5:$C$19,2,FALSE),IF(B$17='(H) OptionLists'!$H$8,1,IF(B$17='(H) OptionLists'!$H$6,(2040-VALUE(LEFT(E8,4)))/(2040-2026),IF(B$17='(H) OptionLists'!$H$7,(1+C$17)^(VALUE(LEFT(E8,4))-2026),1))))),2),"Select valid EDU option")))))))</f>
        <v>115.48</v>
      </c>
      <c r="H8" s="83">
        <f>IF(LEFT(F8,3)="Pop",F8,IF(LEFT(G8,3)="Pop",G8,IFERROR(IF(E8="","",ROUND((IF($B$12="Light-medium-duty (14k pounds or less)",3.4,5)*VLOOKUP(E8,'(B) CI Standard'!$B$5:$D$19,IF($B$12="Light-medium-duty (14k pounds or less)",2,3),FALSE)-G8)*3.6/1000*F8,0)),"")))</f>
        <v>29</v>
      </c>
      <c r="I8" s="85">
        <f>IF(E8="","",_xlfn.IFNA(IF(B$20='(H) OptionLists'!$E$7,IF(C$20="","Populate Cell C20",ROUND(C$20*IF($B$21="Nominal",1,INDEX('(G) Inflation'!$C$12:$N$16,MATCH($B$22,'(G) Inflation'!$B$12:$B$16,0),MATCH($C$21,'(F) Credit Price_nom'!$C$5:$Q$5,0))/INDEX('(G) Inflation'!$C$12:$N$16,MATCH($B$22,'(G) Inflation'!$B$12:$B$16,0),MATCH($E$7,'(F) Credit Price_nom'!$C$5:$Q$5,0))),2)),IF(B$20='(H) OptionLists'!$E$8,IF(L8="","Populate Column L",L8),ROUND(INDEX('(F) Credit Price_nom'!$C$6:$Q$7,MATCH($B$20,'(F) Credit Price_nom'!$B$6:$B$7,0),MATCH(E8,'(F)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69.12</v>
      </c>
      <c r="J8" s="86">
        <f t="shared" ref="J8:J21" si="1">IF(LEFT(H8,3)="Pop",H8,IF(LEFT(I8,3)="Pop",I8,H8*I8))</f>
        <v>2004.48</v>
      </c>
      <c r="K8" s="89"/>
      <c r="L8" s="24"/>
    </row>
    <row r="9" spans="1:12" s="21" customFormat="1" ht="16.2" customHeight="1" thickBot="1" x14ac:dyDescent="0.45">
      <c r="A9" s="101" t="s">
        <v>18</v>
      </c>
      <c r="B9" s="102"/>
      <c r="E9" s="81" cm="1">
        <f t="array" ref="E9">IF(B$19="All Years",INDEX(Years,ROW()-6),"")</f>
        <v>2028</v>
      </c>
      <c r="F9" s="83">
        <f t="shared" si="0"/>
        <v>41.174999999999997</v>
      </c>
      <c r="G9" s="84">
        <f>IF(E9="","",IF(AND($B$16='(H) OptionLists'!$C$14,$C$16=""),"Populate Cell C16",IF($B$16='(H) OptionLists'!$C$5,IF(AND(B$17='(H) OptionLists'!$H$7,C$17=""),"Populate Cell C17",ROUND(StateGridAvg_2026*(IF(B$17='(H) OptionLists'!$H$5,VLOOKUP(E9,'(E) StatewideChange'!$B$5:$C$19,2,FALSE)/VLOOKUP(2026,'(E) StatewideChange'!$B$5:$C$19,2,FALSE),IF(B$17='(H) OptionLists'!$H$8,1,IF(B$17='(H) OptionLists'!$H$6,VLOOKUP(2026,'(E) StatewideChange'!$B$5:$C$19,2,FALSE)/VLOOKUP(E9,'(E) StatewideChange'!$B$5:$C$19,2,FALSE)*(2040-VALUE(LEFT(E9,4)))/(2040-2026),IF(B$17='(H) OptionLists'!$H$7,(1+C$17)^(VALUE(LEFT(E9,4))-2026),1))))),2)),IF($B$16='(H) OptionLists'!$C$14,IF(AND(B$17='(H) OptionLists'!$H$7,C$17=""),"Populate Cell C17",ROUND($C$16*(IF(B$17='(H) OptionLists'!$H$5,VLOOKUP(E9,'(E) StatewideChange'!$B$5:$C$19,2,FALSE)/VLOOKUP(2026,'(E) StatewideChange'!$B$5:$C$19,2,FALSE),IF(B$17='(H) OptionLists'!$H$8,1,IF(B$17='(H) OptionLists'!$H$6,(2040-VALUE(LEFT(E9,4)))/(2040-2026),IF(B$17='(H) OptionLists'!$H$7,(1+C$17)^(VALUE(LEFT(E9,4))-2026),1))))),2)),IF(B$16='(H) OptionLists'!$C$15,IF(K9="","Populate Column K",ROUND(K9,2)),IF(AND(B$17='(H) OptionLists'!$H$7,C$17=""),"Populate Cell C17",IFERROR(ROUND(VLOOKUP($B$16,EDU_CI_Lookup,2,FALSE)*(IF(B$17='(H) OptionLists'!$H$5,VLOOKUP(E9,'(E) StatewideChange'!$B$5:$C$19,2,FALSE)/VLOOKUP(2026,'(E) StatewideChange'!$B$5:$C$19,2,FALSE),IF(B$17='(H) OptionLists'!$H$8,1,IF(B$17='(H) OptionLists'!$H$6,(2040-VALUE(LEFT(E9,4)))/(2040-2026),IF(B$17='(H) OptionLists'!$H$7,(1+C$17)^(VALUE(LEFT(E9,4))-2026),1))))),2),"Select valid EDU option")))))))</f>
        <v>114.01</v>
      </c>
      <c r="H9" s="83">
        <f>IF(LEFT(F9,3)="Pop",F9,IF(LEFT(G9,3)="Pop",G9,IFERROR(IF(E9="","",ROUND((IF($B$12="Light-medium-duty (14k pounds or less)",3.4,5)*VLOOKUP(E9,'(B) CI Standard'!$B$5:$D$19,IF($B$12="Light-medium-duty (14k pounds or less)",2,3),FALSE)-G9)*3.6/1000*F9,0)),"")))</f>
        <v>28</v>
      </c>
      <c r="I9" s="85">
        <f>IF(E9="","",_xlfn.IFNA(IF(B$20='(H) OptionLists'!$E$7,IF(C$20="","Populate Cell C20",ROUND(C$20*IF($B$21="Nominal",1,INDEX('(G) Inflation'!$C$12:$N$16,MATCH($B$22,'(G) Inflation'!$B$12:$B$16,0),MATCH($C$21,'(F) Credit Price_nom'!$C$5:$Q$5,0))/INDEX('(G) Inflation'!$C$12:$N$16,MATCH($B$22,'(G) Inflation'!$B$12:$B$16,0),MATCH($E$7,'(F) Credit Price_nom'!$C$5:$Q$5,0))),2)),IF(B$20='(H) OptionLists'!$E$8,IF(L9="","Populate Column L",L9),ROUND(INDEX('(F) Credit Price_nom'!$C$6:$Q$7,MATCH($B$20,'(F) Credit Price_nom'!$B$6:$B$7,0),MATCH(E9,'(F)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65.31</v>
      </c>
      <c r="J9" s="86">
        <f t="shared" si="1"/>
        <v>1828.68</v>
      </c>
      <c r="K9" s="89"/>
      <c r="L9" s="24"/>
    </row>
    <row r="10" spans="1:12" s="21" customFormat="1" ht="16.2" customHeight="1" thickBot="1" x14ac:dyDescent="0.45">
      <c r="A10" s="109" t="s">
        <v>19</v>
      </c>
      <c r="B10" s="110"/>
      <c r="C10" s="62" t="s">
        <v>20</v>
      </c>
      <c r="E10" s="81" cm="1">
        <f t="array" ref="E10">IF(B$19="All Years",INDEX(Years,ROW()-6),"")</f>
        <v>2029</v>
      </c>
      <c r="F10" s="83">
        <f t="shared" si="0"/>
        <v>41.0625</v>
      </c>
      <c r="G10" s="84">
        <f>IF(E10="","",IF(AND($B$16='(H) OptionLists'!$C$14,$C$16=""),"Populate Cell C16",IF($B$16='(H) OptionLists'!$C$5,IF(AND(B$17='(H) OptionLists'!$H$7,C$17=""),"Populate Cell C17",ROUND(StateGridAvg_2026*(IF(B$17='(H) OptionLists'!$H$5,VLOOKUP(E10,'(E) StatewideChange'!$B$5:$C$19,2,FALSE)/VLOOKUP(2026,'(E) StatewideChange'!$B$5:$C$19,2,FALSE),IF(B$17='(H) OptionLists'!$H$8,1,IF(B$17='(H) OptionLists'!$H$6,VLOOKUP(2026,'(E) StatewideChange'!$B$5:$C$19,2,FALSE)/VLOOKUP(E10,'(E) StatewideChange'!$B$5:$C$19,2,FALSE)*(2040-VALUE(LEFT(E10,4)))/(2040-2026),IF(B$17='(H) OptionLists'!$H$7,(1+C$17)^(VALUE(LEFT(E10,4))-2026),1))))),2)),IF($B$16='(H) OptionLists'!$C$14,IF(AND(B$17='(H) OptionLists'!$H$7,C$17=""),"Populate Cell C17",ROUND($C$16*(IF(B$17='(H) OptionLists'!$H$5,VLOOKUP(E10,'(E) StatewideChange'!$B$5:$C$19,2,FALSE)/VLOOKUP(2026,'(E) StatewideChange'!$B$5:$C$19,2,FALSE),IF(B$17='(H) OptionLists'!$H$8,1,IF(B$17='(H) OptionLists'!$H$6,(2040-VALUE(LEFT(E10,4)))/(2040-2026),IF(B$17='(H) OptionLists'!$H$7,(1+C$17)^(VALUE(LEFT(E10,4))-2026),1))))),2)),IF(B$16='(H) OptionLists'!$C$15,IF(K10="","Populate Column K",ROUND(K10,2)),IF(AND(B$17='(H) OptionLists'!$H$7,C$17=""),"Populate Cell C17",IFERROR(ROUND(VLOOKUP($B$16,EDU_CI_Lookup,2,FALSE)*(IF(B$17='(H) OptionLists'!$H$5,VLOOKUP(E10,'(E) StatewideChange'!$B$5:$C$19,2,FALSE)/VLOOKUP(2026,'(E) StatewideChange'!$B$5:$C$19,2,FALSE),IF(B$17='(H) OptionLists'!$H$8,1,IF(B$17='(H) OptionLists'!$H$6,(2040-VALUE(LEFT(E10,4)))/(2040-2026),IF(B$17='(H) OptionLists'!$H$7,(1+C$17)^(VALUE(LEFT(E10,4))-2026),1))))),2),"Select valid EDU option")))))))</f>
        <v>111.03</v>
      </c>
      <c r="H10" s="83">
        <f>IF(LEFT(F10,3)="Pop",F10,IF(LEFT(G10,3)="Pop",G10,IFERROR(IF(E10="","",ROUND((IF($B$12="Light-medium-duty (14k pounds or less)",3.4,5)*VLOOKUP(E10,'(B) CI Standard'!$B$5:$D$19,IF($B$12="Light-medium-duty (14k pounds or less)",2,3),FALSE)-G10)*3.6/1000*F10,0)),"")))</f>
        <v>26</v>
      </c>
      <c r="I10" s="85">
        <f>IF(E10="","",_xlfn.IFNA(IF(B$20='(H) OptionLists'!$E$7,IF(C$20="","Populate Cell C20",ROUND(C$20*IF($B$21="Nominal",1,INDEX('(G) Inflation'!$C$12:$N$16,MATCH($B$22,'(G) Inflation'!$B$12:$B$16,0),MATCH($C$21,'(F) Credit Price_nom'!$C$5:$Q$5,0))/INDEX('(G) Inflation'!$C$12:$N$16,MATCH($B$22,'(G) Inflation'!$B$12:$B$16,0),MATCH($E$7,'(F) Credit Price_nom'!$C$5:$Q$5,0))),2)),IF(B$20='(H) OptionLists'!$E$8,IF(L10="","Populate Column L",L10),ROUND(INDEX('(F) Credit Price_nom'!$C$6:$Q$7,MATCH($B$20,'(F) Credit Price_nom'!$B$6:$B$7,0),MATCH(E10,'(F)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47.92</v>
      </c>
      <c r="J10" s="86">
        <f t="shared" si="1"/>
        <v>1245.92</v>
      </c>
      <c r="K10" s="89"/>
      <c r="L10" s="24"/>
    </row>
    <row r="11" spans="1:12" s="21" customFormat="1" ht="16.2" customHeight="1" x14ac:dyDescent="0.4">
      <c r="A11" s="15" t="s">
        <v>21</v>
      </c>
      <c r="B11" s="32" t="s">
        <v>22</v>
      </c>
      <c r="C11" s="26"/>
      <c r="E11" s="81" cm="1">
        <f t="array" ref="E11">IF(B$19="All Years",INDEX(Years,ROW()-6),"")</f>
        <v>2030</v>
      </c>
      <c r="F11" s="83">
        <f t="shared" si="0"/>
        <v>41.0625</v>
      </c>
      <c r="G11" s="84">
        <f>IF(E11="","",IF(AND($B$16='(H) OptionLists'!$C$14,$C$16=""),"Populate Cell C16",IF($B$16='(H) OptionLists'!$C$5,IF(AND(B$17='(H) OptionLists'!$H$7,C$17=""),"Populate Cell C17",ROUND(StateGridAvg_2026*(IF(B$17='(H) OptionLists'!$H$5,VLOOKUP(E11,'(E) StatewideChange'!$B$5:$C$19,2,FALSE)/VLOOKUP(2026,'(E) StatewideChange'!$B$5:$C$19,2,FALSE),IF(B$17='(H) OptionLists'!$H$8,1,IF(B$17='(H) OptionLists'!$H$6,VLOOKUP(2026,'(E) StatewideChange'!$B$5:$C$19,2,FALSE)/VLOOKUP(E11,'(E) StatewideChange'!$B$5:$C$19,2,FALSE)*(2040-VALUE(LEFT(E11,4)))/(2040-2026),IF(B$17='(H) OptionLists'!$H$7,(1+C$17)^(VALUE(LEFT(E11,4))-2026),1))))),2)),IF($B$16='(H) OptionLists'!$C$14,IF(AND(B$17='(H) OptionLists'!$H$7,C$17=""),"Populate Cell C17",ROUND($C$16*(IF(B$17='(H) OptionLists'!$H$5,VLOOKUP(E11,'(E) StatewideChange'!$B$5:$C$19,2,FALSE)/VLOOKUP(2026,'(E) StatewideChange'!$B$5:$C$19,2,FALSE),IF(B$17='(H) OptionLists'!$H$8,1,IF(B$17='(H) OptionLists'!$H$6,(2040-VALUE(LEFT(E11,4)))/(2040-2026),IF(B$17='(H) OptionLists'!$H$7,(1+C$17)^(VALUE(LEFT(E11,4))-2026),1))))),2)),IF(B$16='(H) OptionLists'!$C$15,IF(K11="","Populate Column K",ROUND(K11,2)),IF(AND(B$17='(H) OptionLists'!$H$7,C$17=""),"Populate Cell C17",IFERROR(ROUND(VLOOKUP($B$16,EDU_CI_Lookup,2,FALSE)*(IF(B$17='(H) OptionLists'!$H$5,VLOOKUP(E11,'(E) StatewideChange'!$B$5:$C$19,2,FALSE)/VLOOKUP(2026,'(E) StatewideChange'!$B$5:$C$19,2,FALSE),IF(B$17='(H) OptionLists'!$H$8,1,IF(B$17='(H) OptionLists'!$H$6,(2040-VALUE(LEFT(E11,4)))/(2040-2026),IF(B$17='(H) OptionLists'!$H$7,(1+C$17)^(VALUE(LEFT(E11,4))-2026),1))))),2),"Select valid EDU option")))))))</f>
        <v>92.16</v>
      </c>
      <c r="H11" s="83">
        <f>IF(LEFT(F11,3)="Pop",F11,IF(LEFT(G11,3)="Pop",G11,IFERROR(IF(E11="","",ROUND((IF($B$12="Light-medium-duty (14k pounds or less)",3.4,5)*VLOOKUP(E11,'(B) CI Standard'!$B$5:$D$19,IF($B$12="Light-medium-duty (14k pounds or less)",2,3),FALSE)-G11)*3.6/1000*F11,0)),"")))</f>
        <v>25</v>
      </c>
      <c r="I11" s="85">
        <f>IF(E11="","",_xlfn.IFNA(IF(B$20='(H) OptionLists'!$E$7,IF(C$20="","Populate Cell C20",ROUND(C$20*IF($B$21="Nominal",1,INDEX('(G) Inflation'!$C$12:$N$16,MATCH($B$22,'(G) Inflation'!$B$12:$B$16,0),MATCH($C$21,'(F) Credit Price_nom'!$C$5:$Q$5,0))/INDEX('(G) Inflation'!$C$12:$N$16,MATCH($B$22,'(G) Inflation'!$B$12:$B$16,0),MATCH($E$7,'(F) Credit Price_nom'!$C$5:$Q$5,0))),2)),IF(B$20='(H) OptionLists'!$E$8,IF(L11="","Populate Column L",L11),ROUND(INDEX('(F) Credit Price_nom'!$C$6:$Q$7,MATCH($B$20,'(F) Credit Price_nom'!$B$6:$B$7,0),MATCH(E11,'(F)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122.85</v>
      </c>
      <c r="J11" s="86">
        <f t="shared" si="1"/>
        <v>3071.25</v>
      </c>
      <c r="K11" s="89"/>
      <c r="L11" s="24"/>
    </row>
    <row r="12" spans="1:12" s="21" customFormat="1" ht="16.2" customHeight="1" x14ac:dyDescent="0.4">
      <c r="A12" s="10" t="s">
        <v>23</v>
      </c>
      <c r="B12" s="11" t="s">
        <v>24</v>
      </c>
      <c r="C12" s="26"/>
      <c r="E12" s="81" cm="1">
        <f t="array" ref="E12">IF(B$19="All Years",INDEX(Years,ROW()-6),"")</f>
        <v>2031</v>
      </c>
      <c r="F12" s="83">
        <f t="shared" si="0"/>
        <v>41.0625</v>
      </c>
      <c r="G12" s="84">
        <f>IF(E12="","",IF(AND($B$16='(H) OptionLists'!$C$14,$C$16=""),"Populate Cell C16",IF($B$16='(H) OptionLists'!$C$5,IF(AND(B$17='(H) OptionLists'!$H$7,C$17=""),"Populate Cell C17",ROUND(StateGridAvg_2026*(IF(B$17='(H) OptionLists'!$H$5,VLOOKUP(E12,'(E) StatewideChange'!$B$5:$C$19,2,FALSE)/VLOOKUP(2026,'(E) StatewideChange'!$B$5:$C$19,2,FALSE),IF(B$17='(H) OptionLists'!$H$8,1,IF(B$17='(H) OptionLists'!$H$6,VLOOKUP(2026,'(E) StatewideChange'!$B$5:$C$19,2,FALSE)/VLOOKUP(E12,'(E) StatewideChange'!$B$5:$C$19,2,FALSE)*(2040-VALUE(LEFT(E12,4)))/(2040-2026),IF(B$17='(H) OptionLists'!$H$7,(1+C$17)^(VALUE(LEFT(E12,4))-2026),1))))),2)),IF($B$16='(H) OptionLists'!$C$14,IF(AND(B$17='(H) OptionLists'!$H$7,C$17=""),"Populate Cell C17",ROUND($C$16*(IF(B$17='(H) OptionLists'!$H$5,VLOOKUP(E12,'(E) StatewideChange'!$B$5:$C$19,2,FALSE)/VLOOKUP(2026,'(E) StatewideChange'!$B$5:$C$19,2,FALSE),IF(B$17='(H) OptionLists'!$H$8,1,IF(B$17='(H) OptionLists'!$H$6,(2040-VALUE(LEFT(E12,4)))/(2040-2026),IF(B$17='(H) OptionLists'!$H$7,(1+C$17)^(VALUE(LEFT(E12,4))-2026),1))))),2)),IF(B$16='(H) OptionLists'!$C$15,IF(K12="","Populate Column K",ROUND(K12,2)),IF(AND(B$17='(H) OptionLists'!$H$7,C$17=""),"Populate Cell C17",IFERROR(ROUND(VLOOKUP($B$16,EDU_CI_Lookup,2,FALSE)*(IF(B$17='(H) OptionLists'!$H$5,VLOOKUP(E12,'(E) StatewideChange'!$B$5:$C$19,2,FALSE)/VLOOKUP(2026,'(E) StatewideChange'!$B$5:$C$19,2,FALSE),IF(B$17='(H) OptionLists'!$H$8,1,IF(B$17='(H) OptionLists'!$H$6,(2040-VALUE(LEFT(E12,4)))/(2040-2026),IF(B$17='(H) OptionLists'!$H$7,(1+C$17)^(VALUE(LEFT(E12,4))-2026),1))))),2),"Select valid EDU option")))))))</f>
        <v>65.12</v>
      </c>
      <c r="H12" s="83">
        <f>IF(LEFT(F12,3)="Pop",F12,IF(LEFT(G12,3)="Pop",G12,IFERROR(IF(E12="","",ROUND((IF($B$12="Light-medium-duty (14k pounds or less)",3.4,5)*VLOOKUP(E12,'(B) CI Standard'!$B$5:$D$19,IF($B$12="Light-medium-duty (14k pounds or less)",2,3),FALSE)-G12)*3.6/1000*F12,0)),"")))</f>
        <v>28</v>
      </c>
      <c r="I12" s="85">
        <f>IF(E12="","",_xlfn.IFNA(IF(B$20='(H) OptionLists'!$E$7,IF(C$20="","Populate Cell C20",ROUND(C$20*IF($B$21="Nominal",1,INDEX('(G) Inflation'!$C$12:$N$16,MATCH($B$22,'(G) Inflation'!$B$12:$B$16,0),MATCH($C$21,'(F) Credit Price_nom'!$C$5:$Q$5,0))/INDEX('(G) Inflation'!$C$12:$N$16,MATCH($B$22,'(G) Inflation'!$B$12:$B$16,0),MATCH($E$7,'(F) Credit Price_nom'!$C$5:$Q$5,0))),2)),IF(B$20='(H) OptionLists'!$E$8,IF(L12="","Populate Column L",L12),ROUND(INDEX('(F) Credit Price_nom'!$C$6:$Q$7,MATCH($B$20,'(F) Credit Price_nom'!$B$6:$B$7,0),MATCH(E12,'(F)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106.1</v>
      </c>
      <c r="J12" s="86">
        <f t="shared" si="1"/>
        <v>2970.7999999999997</v>
      </c>
      <c r="K12" s="89"/>
      <c r="L12" s="24"/>
    </row>
    <row r="13" spans="1:12" s="21" customFormat="1" ht="16.2" customHeight="1" x14ac:dyDescent="0.4">
      <c r="A13" s="10" t="s">
        <v>25</v>
      </c>
      <c r="B13" s="11">
        <v>5</v>
      </c>
      <c r="C13" s="26"/>
      <c r="E13" s="81" cm="1">
        <f t="array" ref="E13">IF(B$19="All Years",INDEX(Years,ROW()-6),"")</f>
        <v>2032</v>
      </c>
      <c r="F13" s="83">
        <f t="shared" si="0"/>
        <v>41.174999999999997</v>
      </c>
      <c r="G13" s="84">
        <f>IF(E13="","",IF(AND($B$16='(H) OptionLists'!$C$14,$C$16=""),"Populate Cell C16",IF($B$16='(H) OptionLists'!$C$5,IF(AND(B$17='(H) OptionLists'!$H$7,C$17=""),"Populate Cell C17",ROUND(StateGridAvg_2026*(IF(B$17='(H) OptionLists'!$H$5,VLOOKUP(E13,'(E) StatewideChange'!$B$5:$C$19,2,FALSE)/VLOOKUP(2026,'(E) StatewideChange'!$B$5:$C$19,2,FALSE),IF(B$17='(H) OptionLists'!$H$8,1,IF(B$17='(H) OptionLists'!$H$6,VLOOKUP(2026,'(E) StatewideChange'!$B$5:$C$19,2,FALSE)/VLOOKUP(E13,'(E) StatewideChange'!$B$5:$C$19,2,FALSE)*(2040-VALUE(LEFT(E13,4)))/(2040-2026),IF(B$17='(H) OptionLists'!$H$7,(1+C$17)^(VALUE(LEFT(E13,4))-2026),1))))),2)),IF($B$16='(H) OptionLists'!$C$14,IF(AND(B$17='(H) OptionLists'!$H$7,C$17=""),"Populate Cell C17",ROUND($C$16*(IF(B$17='(H) OptionLists'!$H$5,VLOOKUP(E13,'(E) StatewideChange'!$B$5:$C$19,2,FALSE)/VLOOKUP(2026,'(E) StatewideChange'!$B$5:$C$19,2,FALSE),IF(B$17='(H) OptionLists'!$H$8,1,IF(B$17='(H) OptionLists'!$H$6,(2040-VALUE(LEFT(E13,4)))/(2040-2026),IF(B$17='(H) OptionLists'!$H$7,(1+C$17)^(VALUE(LEFT(E13,4))-2026),1))))),2)),IF(B$16='(H) OptionLists'!$C$15,IF(K13="","Populate Column K",ROUND(K13,2)),IF(AND(B$17='(H) OptionLists'!$H$7,C$17=""),"Populate Cell C17",IFERROR(ROUND(VLOOKUP($B$16,EDU_CI_Lookup,2,FALSE)*(IF(B$17='(H) OptionLists'!$H$5,VLOOKUP(E13,'(E) StatewideChange'!$B$5:$C$19,2,FALSE)/VLOOKUP(2026,'(E) StatewideChange'!$B$5:$C$19,2,FALSE),IF(B$17='(H) OptionLists'!$H$8,1,IF(B$17='(H) OptionLists'!$H$6,(2040-VALUE(LEFT(E13,4)))/(2040-2026),IF(B$17='(H) OptionLists'!$H$7,(1+C$17)^(VALUE(LEFT(E13,4))-2026),1))))),2),"Select valid EDU option")))))))</f>
        <v>45.97</v>
      </c>
      <c r="H13" s="83">
        <f>IF(LEFT(F13,3)="Pop",F13,IF(LEFT(G13,3)="Pop",G13,IFERROR(IF(E13="","",ROUND((IF($B$12="Light-medium-duty (14k pounds or less)",3.4,5)*VLOOKUP(E13,'(B) CI Standard'!$B$5:$D$19,IF($B$12="Light-medium-duty (14k pounds or less)",2,3),FALSE)-G13)*3.6/1000*F13,0)),"")))</f>
        <v>31</v>
      </c>
      <c r="I13" s="85">
        <f>IF(E13="","",_xlfn.IFNA(IF(B$20='(H) OptionLists'!$E$7,IF(C$20="","Populate Cell C20",ROUND(C$20*IF($B$21="Nominal",1,INDEX('(G) Inflation'!$C$12:$N$16,MATCH($B$22,'(G) Inflation'!$B$12:$B$16,0),MATCH($C$21,'(F) Credit Price_nom'!$C$5:$Q$5,0))/INDEX('(G) Inflation'!$C$12:$N$16,MATCH($B$22,'(G) Inflation'!$B$12:$B$16,0),MATCH($E$7,'(F) Credit Price_nom'!$C$5:$Q$5,0))),2)),IF(B$20='(H) OptionLists'!$E$8,IF(L13="","Populate Column L",L13),ROUND(INDEX('(F) Credit Price_nom'!$C$6:$Q$7,MATCH($B$20,'(F) Credit Price_nom'!$B$6:$B$7,0),MATCH(E13,'(F)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89.08</v>
      </c>
      <c r="J13" s="86">
        <f t="shared" si="1"/>
        <v>2761.48</v>
      </c>
      <c r="K13" s="89"/>
      <c r="L13" s="24"/>
    </row>
    <row r="14" spans="1:12" s="21" customFormat="1" ht="16.2" customHeight="1" x14ac:dyDescent="0.4">
      <c r="A14" s="12" t="s">
        <v>148</v>
      </c>
      <c r="B14" s="11">
        <v>75</v>
      </c>
      <c r="C14" s="26"/>
      <c r="E14" s="81" cm="1">
        <f t="array" ref="E14">IF(B$19="All Years",INDEX(Years,ROW()-6),"")</f>
        <v>2033</v>
      </c>
      <c r="F14" s="83">
        <f t="shared" si="0"/>
        <v>41.0625</v>
      </c>
      <c r="G14" s="84">
        <f>IF(E14="","",IF(AND($B$16='(H) OptionLists'!$C$14,$C$16=""),"Populate Cell C16",IF($B$16='(H) OptionLists'!$C$5,IF(AND(B$17='(H) OptionLists'!$H$7,C$17=""),"Populate Cell C17",ROUND(StateGridAvg_2026*(IF(B$17='(H) OptionLists'!$H$5,VLOOKUP(E14,'(E) StatewideChange'!$B$5:$C$19,2,FALSE)/VLOOKUP(2026,'(E) StatewideChange'!$B$5:$C$19,2,FALSE),IF(B$17='(H) OptionLists'!$H$8,1,IF(B$17='(H) OptionLists'!$H$6,VLOOKUP(2026,'(E) StatewideChange'!$B$5:$C$19,2,FALSE)/VLOOKUP(E14,'(E) StatewideChange'!$B$5:$C$19,2,FALSE)*(2040-VALUE(LEFT(E14,4)))/(2040-2026),IF(B$17='(H) OptionLists'!$H$7,(1+C$17)^(VALUE(LEFT(E14,4))-2026),1))))),2)),IF($B$16='(H) OptionLists'!$C$14,IF(AND(B$17='(H) OptionLists'!$H$7,C$17=""),"Populate Cell C17",ROUND($C$16*(IF(B$17='(H) OptionLists'!$H$5,VLOOKUP(E14,'(E) StatewideChange'!$B$5:$C$19,2,FALSE)/VLOOKUP(2026,'(E) StatewideChange'!$B$5:$C$19,2,FALSE),IF(B$17='(H) OptionLists'!$H$8,1,IF(B$17='(H) OptionLists'!$H$6,(2040-VALUE(LEFT(E14,4)))/(2040-2026),IF(B$17='(H) OptionLists'!$H$7,(1+C$17)^(VALUE(LEFT(E14,4))-2026),1))))),2)),IF(B$16='(H) OptionLists'!$C$15,IF(K14="","Populate Column K",ROUND(K14,2)),IF(AND(B$17='(H) OptionLists'!$H$7,C$17=""),"Populate Cell C17",IFERROR(ROUND(VLOOKUP($B$16,EDU_CI_Lookup,2,FALSE)*(IF(B$17='(H) OptionLists'!$H$5,VLOOKUP(E14,'(E) StatewideChange'!$B$5:$C$19,2,FALSE)/VLOOKUP(2026,'(E) StatewideChange'!$B$5:$C$19,2,FALSE),IF(B$17='(H) OptionLists'!$H$8,1,IF(B$17='(H) OptionLists'!$H$6,(2040-VALUE(LEFT(E14,4)))/(2040-2026),IF(B$17='(H) OptionLists'!$H$7,(1+C$17)^(VALUE(LEFT(E14,4))-2026),1))))),2),"Select valid EDU option")))))))</f>
        <v>42.8</v>
      </c>
      <c r="H14" s="83">
        <f>IF(LEFT(F14,3)="Pop",F14,IF(LEFT(G14,3)="Pop",G14,IFERROR(IF(E14="","",ROUND((IF($B$12="Light-medium-duty (14k pounds or less)",3.4,5)*VLOOKUP(E14,'(B) CI Standard'!$B$5:$D$19,IF($B$12="Light-medium-duty (14k pounds or less)",2,3),FALSE)-G14)*3.6/1000*F14,0)),"")))</f>
        <v>31</v>
      </c>
      <c r="I14" s="85">
        <f>IF(E14="","",_xlfn.IFNA(IF(B$20='(H) OptionLists'!$E$7,IF(C$20="","Populate Cell C20",ROUND(C$20*IF($B$21="Nominal",1,INDEX('(G) Inflation'!$C$12:$N$16,MATCH($B$22,'(G) Inflation'!$B$12:$B$16,0),MATCH($C$21,'(F) Credit Price_nom'!$C$5:$Q$5,0))/INDEX('(G) Inflation'!$C$12:$N$16,MATCH($B$22,'(G) Inflation'!$B$12:$B$16,0),MATCH($E$7,'(F) Credit Price_nom'!$C$5:$Q$5,0))),2)),IF(B$20='(H) OptionLists'!$E$8,IF(L14="","Populate Column L",L14),ROUND(INDEX('(F) Credit Price_nom'!$C$6:$Q$7,MATCH($B$20,'(F) Credit Price_nom'!$B$6:$B$7,0),MATCH(E14,'(F)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73.540000000000006</v>
      </c>
      <c r="J14" s="86">
        <f t="shared" si="1"/>
        <v>2279.7400000000002</v>
      </c>
      <c r="K14" s="89"/>
      <c r="L14" s="24"/>
    </row>
    <row r="15" spans="1:12" s="21" customFormat="1" ht="16.2" customHeight="1" x14ac:dyDescent="0.4">
      <c r="A15" s="12" t="s">
        <v>26</v>
      </c>
      <c r="B15" s="31">
        <v>0.3</v>
      </c>
      <c r="C15" s="26">
        <v>5</v>
      </c>
      <c r="E15" s="81" cm="1">
        <f t="array" ref="E15">IF(B$19="All Years",INDEX(Years,ROW()-6),"")</f>
        <v>2034</v>
      </c>
      <c r="F15" s="83">
        <f t="shared" si="0"/>
        <v>41.0625</v>
      </c>
      <c r="G15" s="84">
        <f>IF(E15="","",IF(AND($B$16='(H) OptionLists'!$C$14,$C$16=""),"Populate Cell C16",IF($B$16='(H) OptionLists'!$C$5,IF(AND(B$17='(H) OptionLists'!$H$7,C$17=""),"Populate Cell C17",ROUND(StateGridAvg_2026*(IF(B$17='(H) OptionLists'!$H$5,VLOOKUP(E15,'(E) StatewideChange'!$B$5:$C$19,2,FALSE)/VLOOKUP(2026,'(E) StatewideChange'!$B$5:$C$19,2,FALSE),IF(B$17='(H) OptionLists'!$H$8,1,IF(B$17='(H) OptionLists'!$H$6,VLOOKUP(2026,'(E) StatewideChange'!$B$5:$C$19,2,FALSE)/VLOOKUP(E15,'(E) StatewideChange'!$B$5:$C$19,2,FALSE)*(2040-VALUE(LEFT(E15,4)))/(2040-2026),IF(B$17='(H) OptionLists'!$H$7,(1+C$17)^(VALUE(LEFT(E15,4))-2026),1))))),2)),IF($B$16='(H) OptionLists'!$C$14,IF(AND(B$17='(H) OptionLists'!$H$7,C$17=""),"Populate Cell C17",ROUND($C$16*(IF(B$17='(H) OptionLists'!$H$5,VLOOKUP(E15,'(E) StatewideChange'!$B$5:$C$19,2,FALSE)/VLOOKUP(2026,'(E) StatewideChange'!$B$5:$C$19,2,FALSE),IF(B$17='(H) OptionLists'!$H$8,1,IF(B$17='(H) OptionLists'!$H$6,(2040-VALUE(LEFT(E15,4)))/(2040-2026),IF(B$17='(H) OptionLists'!$H$7,(1+C$17)^(VALUE(LEFT(E15,4))-2026),1))))),2)),IF(B$16='(H) OptionLists'!$C$15,IF(K15="","Populate Column K",ROUND(K15,2)),IF(AND(B$17='(H) OptionLists'!$H$7,C$17=""),"Populate Cell C17",IFERROR(ROUND(VLOOKUP($B$16,EDU_CI_Lookup,2,FALSE)*(IF(B$17='(H) OptionLists'!$H$5,VLOOKUP(E15,'(E) StatewideChange'!$B$5:$C$19,2,FALSE)/VLOOKUP(2026,'(E) StatewideChange'!$B$5:$C$19,2,FALSE),IF(B$17='(H) OptionLists'!$H$8,1,IF(B$17='(H) OptionLists'!$H$6,(2040-VALUE(LEFT(E15,4)))/(2040-2026),IF(B$17='(H) OptionLists'!$H$7,(1+C$17)^(VALUE(LEFT(E15,4))-2026),1))))),2),"Select valid EDU option")))))))</f>
        <v>42.2</v>
      </c>
      <c r="H15" s="83">
        <f>IF(LEFT(F15,3)="Pop",F15,IF(LEFT(G15,3)="Pop",G15,IFERROR(IF(E15="","",ROUND((IF($B$12="Light-medium-duty (14k pounds or less)",3.4,5)*VLOOKUP(E15,'(B) CI Standard'!$B$5:$D$19,IF($B$12="Light-medium-duty (14k pounds or less)",2,3),FALSE)-G15)*3.6/1000*F15,0)),"")))</f>
        <v>30</v>
      </c>
      <c r="I15" s="85">
        <f>IF(E15="","",_xlfn.IFNA(IF(B$20='(H) OptionLists'!$E$7,IF(C$20="","Populate Cell C20",ROUND(C$20*IF($B$21="Nominal",1,INDEX('(G) Inflation'!$C$12:$N$16,MATCH($B$22,'(G) Inflation'!$B$12:$B$16,0),MATCH($C$21,'(F) Credit Price_nom'!$C$5:$Q$5,0))/INDEX('(G) Inflation'!$C$12:$N$16,MATCH($B$22,'(G) Inflation'!$B$12:$B$16,0),MATCH($E$7,'(F) Credit Price_nom'!$C$5:$Q$5,0))),2)),IF(B$20='(H) OptionLists'!$E$8,IF(L15="","Populate Column L",L15),ROUND(INDEX('(F) Credit Price_nom'!$C$6:$Q$7,MATCH($B$20,'(F) Credit Price_nom'!$B$6:$B$7,0),MATCH(E15,'(F)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75.239999999999995</v>
      </c>
      <c r="J15" s="86">
        <f t="shared" si="1"/>
        <v>2257.1999999999998</v>
      </c>
      <c r="K15" s="89"/>
      <c r="L15" s="24"/>
    </row>
    <row r="16" spans="1:12" s="21" customFormat="1" ht="16.2" customHeight="1" x14ac:dyDescent="0.4">
      <c r="A16" s="13" t="s">
        <v>188</v>
      </c>
      <c r="B16" s="14" t="s">
        <v>131</v>
      </c>
      <c r="C16" s="9">
        <v>80</v>
      </c>
      <c r="E16" s="81" cm="1">
        <f t="array" ref="E16">IF(B$19="All Years",INDEX(Years,ROW()-6),"")</f>
        <v>2035</v>
      </c>
      <c r="F16" s="83">
        <f t="shared" si="0"/>
        <v>41.0625</v>
      </c>
      <c r="G16" s="84">
        <f>IF(E16="","",IF(AND($B$16='(H) OptionLists'!$C$14,$C$16=""),"Populate Cell C16",IF($B$16='(H) OptionLists'!$C$5,IF(AND(B$17='(H) OptionLists'!$H$7,C$17=""),"Populate Cell C17",ROUND(StateGridAvg_2026*(IF(B$17='(H) OptionLists'!$H$5,VLOOKUP(E16,'(E) StatewideChange'!$B$5:$C$19,2,FALSE)/VLOOKUP(2026,'(E) StatewideChange'!$B$5:$C$19,2,FALSE),IF(B$17='(H) OptionLists'!$H$8,1,IF(B$17='(H) OptionLists'!$H$6,VLOOKUP(2026,'(E) StatewideChange'!$B$5:$C$19,2,FALSE)/VLOOKUP(E16,'(E) StatewideChange'!$B$5:$C$19,2,FALSE)*(2040-VALUE(LEFT(E16,4)))/(2040-2026),IF(B$17='(H) OptionLists'!$H$7,(1+C$17)^(VALUE(LEFT(E16,4))-2026),1))))),2)),IF($B$16='(H) OptionLists'!$C$14,IF(AND(B$17='(H) OptionLists'!$H$7,C$17=""),"Populate Cell C17",ROUND($C$16*(IF(B$17='(H) OptionLists'!$H$5,VLOOKUP(E16,'(E) StatewideChange'!$B$5:$C$19,2,FALSE)/VLOOKUP(2026,'(E) StatewideChange'!$B$5:$C$19,2,FALSE),IF(B$17='(H) OptionLists'!$H$8,1,IF(B$17='(H) OptionLists'!$H$6,(2040-VALUE(LEFT(E16,4)))/(2040-2026),IF(B$17='(H) OptionLists'!$H$7,(1+C$17)^(VALUE(LEFT(E16,4))-2026),1))))),2)),IF(B$16='(H) OptionLists'!$C$15,IF(K16="","Populate Column K",ROUND(K16,2)),IF(AND(B$17='(H) OptionLists'!$H$7,C$17=""),"Populate Cell C17",IFERROR(ROUND(VLOOKUP($B$16,EDU_CI_Lookup,2,FALSE)*(IF(B$17='(H) OptionLists'!$H$5,VLOOKUP(E16,'(E) StatewideChange'!$B$5:$C$19,2,FALSE)/VLOOKUP(2026,'(E) StatewideChange'!$B$5:$C$19,2,FALSE),IF(B$17='(H) OptionLists'!$H$8,1,IF(B$17='(H) OptionLists'!$H$6,(2040-VALUE(LEFT(E16,4)))/(2040-2026),IF(B$17='(H) OptionLists'!$H$7,(1+C$17)^(VALUE(LEFT(E16,4))-2026),1))))),2),"Select valid EDU option")))))))</f>
        <v>37.43</v>
      </c>
      <c r="H16" s="83">
        <f>IF(LEFT(F16,3)="Pop",F16,IF(LEFT(G16,3)="Pop",G16,IFERROR(IF(E16="","",ROUND((IF($B$12="Light-medium-duty (14k pounds or less)",3.4,5)*VLOOKUP(E16,'(B) CI Standard'!$B$5:$D$19,IF($B$12="Light-medium-duty (14k pounds or less)",2,3),FALSE)-G16)*3.6/1000*F16,0)),"")))</f>
        <v>31</v>
      </c>
      <c r="I16" s="85">
        <f>IF(E16="","",_xlfn.IFNA(IF(B$20='(H) OptionLists'!$E$7,IF(C$20="","Populate Cell C20",ROUND(C$20*IF($B$21="Nominal",1,INDEX('(G) Inflation'!$C$12:$N$16,MATCH($B$22,'(G) Inflation'!$B$12:$B$16,0),MATCH($C$21,'(F) Credit Price_nom'!$C$5:$Q$5,0))/INDEX('(G) Inflation'!$C$12:$N$16,MATCH($B$22,'(G) Inflation'!$B$12:$B$16,0),MATCH($E$7,'(F) Credit Price_nom'!$C$5:$Q$5,0))),2)),IF(B$20='(H) OptionLists'!$E$8,IF(L16="","Populate Column L",L16),ROUND(INDEX('(F) Credit Price_nom'!$C$6:$Q$7,MATCH($B$20,'(F) Credit Price_nom'!$B$6:$B$7,0),MATCH(E16,'(F)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77.25</v>
      </c>
      <c r="J16" s="86">
        <f t="shared" si="1"/>
        <v>2394.75</v>
      </c>
      <c r="K16" s="89"/>
      <c r="L16" s="24"/>
    </row>
    <row r="17" spans="1:12" s="21" customFormat="1" ht="16.2" customHeight="1" thickBot="1" x14ac:dyDescent="0.45">
      <c r="A17" s="13" t="s">
        <v>190</v>
      </c>
      <c r="B17" s="14" t="s">
        <v>138</v>
      </c>
      <c r="C17" s="69">
        <v>-0.05</v>
      </c>
      <c r="E17" s="81" cm="1">
        <f t="array" ref="E17">IF(B$19="All Years",INDEX(Years,ROW()-6),"")</f>
        <v>2036</v>
      </c>
      <c r="F17" s="83">
        <f t="shared" si="0"/>
        <v>41.174999999999997</v>
      </c>
      <c r="G17" s="84">
        <f>IF(E17="","",IF(AND($B$16='(H) OptionLists'!$C$14,$C$16=""),"Populate Cell C16",IF($B$16='(H) OptionLists'!$C$5,IF(AND(B$17='(H) OptionLists'!$H$7,C$17=""),"Populate Cell C17",ROUND(StateGridAvg_2026*(IF(B$17='(H) OptionLists'!$H$5,VLOOKUP(E17,'(E) StatewideChange'!$B$5:$C$19,2,FALSE)/VLOOKUP(2026,'(E) StatewideChange'!$B$5:$C$19,2,FALSE),IF(B$17='(H) OptionLists'!$H$8,1,IF(B$17='(H) OptionLists'!$H$6,VLOOKUP(2026,'(E) StatewideChange'!$B$5:$C$19,2,FALSE)/VLOOKUP(E17,'(E) StatewideChange'!$B$5:$C$19,2,FALSE)*(2040-VALUE(LEFT(E17,4)))/(2040-2026),IF(B$17='(H) OptionLists'!$H$7,(1+C$17)^(VALUE(LEFT(E17,4))-2026),1))))),2)),IF($B$16='(H) OptionLists'!$C$14,IF(AND(B$17='(H) OptionLists'!$H$7,C$17=""),"Populate Cell C17",ROUND($C$16*(IF(B$17='(H) OptionLists'!$H$5,VLOOKUP(E17,'(E) StatewideChange'!$B$5:$C$19,2,FALSE)/VLOOKUP(2026,'(E) StatewideChange'!$B$5:$C$19,2,FALSE),IF(B$17='(H) OptionLists'!$H$8,1,IF(B$17='(H) OptionLists'!$H$6,(2040-VALUE(LEFT(E17,4)))/(2040-2026),IF(B$17='(H) OptionLists'!$H$7,(1+C$17)^(VALUE(LEFT(E17,4))-2026),1))))),2)),IF(B$16='(H) OptionLists'!$C$15,IF(K17="","Populate Column K",ROUND(K17,2)),IF(AND(B$17='(H) OptionLists'!$H$7,C$17=""),"Populate Cell C17",IFERROR(ROUND(VLOOKUP($B$16,EDU_CI_Lookup,2,FALSE)*(IF(B$17='(H) OptionLists'!$H$5,VLOOKUP(E17,'(E) StatewideChange'!$B$5:$C$19,2,FALSE)/VLOOKUP(2026,'(E) StatewideChange'!$B$5:$C$19,2,FALSE),IF(B$17='(H) OptionLists'!$H$8,1,IF(B$17='(H) OptionLists'!$H$6,(2040-VALUE(LEFT(E17,4)))/(2040-2026),IF(B$17='(H) OptionLists'!$H$7,(1+C$17)^(VALUE(LEFT(E17,4))-2026),1))))),2),"Select valid EDU option")))))))</f>
        <v>34.9</v>
      </c>
      <c r="H17" s="83">
        <f>IF(LEFT(F17,3)="Pop",F17,IF(LEFT(G17,3)="Pop",G17,IFERROR(IF(E17="","",ROUND((IF($B$12="Light-medium-duty (14k pounds or less)",3.4,5)*VLOOKUP(E17,'(B) CI Standard'!$B$5:$D$19,IF($B$12="Light-medium-duty (14k pounds or less)",2,3),FALSE)-G17)*3.6/1000*F17,0)),"")))</f>
        <v>30</v>
      </c>
      <c r="I17" s="85">
        <f>IF(E17="","",_xlfn.IFNA(IF(B$20='(H) OptionLists'!$E$7,IF(C$20="","Populate Cell C20",ROUND(C$20*IF($B$21="Nominal",1,INDEX('(G) Inflation'!$C$12:$N$16,MATCH($B$22,'(G) Inflation'!$B$12:$B$16,0),MATCH($C$21,'(F) Credit Price_nom'!$C$5:$Q$5,0))/INDEX('(G) Inflation'!$C$12:$N$16,MATCH($B$22,'(G) Inflation'!$B$12:$B$16,0),MATCH($E$7,'(F) Credit Price_nom'!$C$5:$Q$5,0))),2)),IF(B$20='(H) OptionLists'!$E$8,IF(L17="","Populate Column L",L17),ROUND(INDEX('(F) Credit Price_nom'!$C$6:$Q$7,MATCH($B$20,'(F) Credit Price_nom'!$B$6:$B$7,0),MATCH(E17,'(F)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78.930000000000007</v>
      </c>
      <c r="J17" s="86">
        <f t="shared" si="1"/>
        <v>2367.9</v>
      </c>
      <c r="K17" s="89"/>
      <c r="L17" s="24"/>
    </row>
    <row r="18" spans="1:12" s="21" customFormat="1" ht="16.2" customHeight="1" thickBot="1" x14ac:dyDescent="0.45">
      <c r="A18" s="99" t="s">
        <v>28</v>
      </c>
      <c r="B18" s="100"/>
      <c r="C18" s="68" t="s">
        <v>20</v>
      </c>
      <c r="E18" s="81" cm="1">
        <f t="array" ref="E18">IF(B$19="All Years",INDEX(Years,ROW()-6),"")</f>
        <v>2037</v>
      </c>
      <c r="F18" s="83">
        <f t="shared" si="0"/>
        <v>41.0625</v>
      </c>
      <c r="G18" s="84">
        <f>IF(E18="","",IF(AND($B$16='(H) OptionLists'!$C$14,$C$16=""),"Populate Cell C16",IF($B$16='(H) OptionLists'!$C$5,IF(AND(B$17='(H) OptionLists'!$H$7,C$17=""),"Populate Cell C17",ROUND(StateGridAvg_2026*(IF(B$17='(H) OptionLists'!$H$5,VLOOKUP(E18,'(E) StatewideChange'!$B$5:$C$19,2,FALSE)/VLOOKUP(2026,'(E) StatewideChange'!$B$5:$C$19,2,FALSE),IF(B$17='(H) OptionLists'!$H$8,1,IF(B$17='(H) OptionLists'!$H$6,VLOOKUP(2026,'(E) StatewideChange'!$B$5:$C$19,2,FALSE)/VLOOKUP(E18,'(E) StatewideChange'!$B$5:$C$19,2,FALSE)*(2040-VALUE(LEFT(E18,4)))/(2040-2026),IF(B$17='(H) OptionLists'!$H$7,(1+C$17)^(VALUE(LEFT(E18,4))-2026),1))))),2)),IF($B$16='(H) OptionLists'!$C$14,IF(AND(B$17='(H) OptionLists'!$H$7,C$17=""),"Populate Cell C17",ROUND($C$16*(IF(B$17='(H) OptionLists'!$H$5,VLOOKUP(E18,'(E) StatewideChange'!$B$5:$C$19,2,FALSE)/VLOOKUP(2026,'(E) StatewideChange'!$B$5:$C$19,2,FALSE),IF(B$17='(H) OptionLists'!$H$8,1,IF(B$17='(H) OptionLists'!$H$6,(2040-VALUE(LEFT(E18,4)))/(2040-2026),IF(B$17='(H) OptionLists'!$H$7,(1+C$17)^(VALUE(LEFT(E18,4))-2026),1))))),2)),IF(B$16='(H) OptionLists'!$C$15,IF(K18="","Populate Column K",ROUND(K18,2)),IF(AND(B$17='(H) OptionLists'!$H$7,C$17=""),"Populate Cell C17",IFERROR(ROUND(VLOOKUP($B$16,EDU_CI_Lookup,2,FALSE)*(IF(B$17='(H) OptionLists'!$H$5,VLOOKUP(E18,'(E) StatewideChange'!$B$5:$C$19,2,FALSE)/VLOOKUP(2026,'(E) StatewideChange'!$B$5:$C$19,2,FALSE),IF(B$17='(H) OptionLists'!$H$8,1,IF(B$17='(H) OptionLists'!$H$6,(2040-VALUE(LEFT(E18,4)))/(2040-2026),IF(B$17='(H) OptionLists'!$H$7,(1+C$17)^(VALUE(LEFT(E18,4))-2026),1))))),2),"Select valid EDU option")))))))</f>
        <v>31.6</v>
      </c>
      <c r="H18" s="83">
        <f>IF(LEFT(F18,3)="Pop",F18,IF(LEFT(G18,3)="Pop",G18,IFERROR(IF(E18="","",ROUND((IF($B$12="Light-medium-duty (14k pounds or less)",3.4,5)*VLOOKUP(E18,'(B) CI Standard'!$B$5:$D$19,IF($B$12="Light-medium-duty (14k pounds or less)",2,3),FALSE)-G18)*3.6/1000*F18,0)),"")))</f>
        <v>30</v>
      </c>
      <c r="I18" s="85">
        <f>IF(E18="","",_xlfn.IFNA(IF(B$20='(H) OptionLists'!$E$7,IF(C$20="","Populate Cell C20",ROUND(C$20*IF($B$21="Nominal",1,INDEX('(G) Inflation'!$C$12:$N$16,MATCH($B$22,'(G) Inflation'!$B$12:$B$16,0),MATCH($C$21,'(F) Credit Price_nom'!$C$5:$Q$5,0))/INDEX('(G) Inflation'!$C$12:$N$16,MATCH($B$22,'(G) Inflation'!$B$12:$B$16,0),MATCH($E$7,'(F) Credit Price_nom'!$C$5:$Q$5,0))),2)),IF(B$20='(H) OptionLists'!$E$8,IF(L18="","Populate Column L",L18),ROUND(INDEX('(F) Credit Price_nom'!$C$6:$Q$7,MATCH($B$20,'(F) Credit Price_nom'!$B$6:$B$7,0),MATCH(E18,'(F)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80.900000000000006</v>
      </c>
      <c r="J18" s="86">
        <f t="shared" si="1"/>
        <v>2427</v>
      </c>
      <c r="K18" s="89"/>
      <c r="L18" s="24"/>
    </row>
    <row r="19" spans="1:12" s="21" customFormat="1" ht="16.2" customHeight="1" x14ac:dyDescent="0.4">
      <c r="A19" s="15" t="s">
        <v>225</v>
      </c>
      <c r="B19" s="16" t="s">
        <v>29</v>
      </c>
      <c r="C19" s="8">
        <v>2026</v>
      </c>
      <c r="E19" s="81" cm="1">
        <f t="array" ref="E19">IF(B$19="All Years",INDEX(Years,ROW()-6),"")</f>
        <v>2038</v>
      </c>
      <c r="F19" s="83">
        <f t="shared" si="0"/>
        <v>41.0625</v>
      </c>
      <c r="G19" s="84">
        <f>IF(E19="","",IF(AND($B$16='(H) OptionLists'!$C$14,$C$16=""),"Populate Cell C16",IF($B$16='(H) OptionLists'!$C$5,IF(AND(B$17='(H) OptionLists'!$H$7,C$17=""),"Populate Cell C17",ROUND(StateGridAvg_2026*(IF(B$17='(H) OptionLists'!$H$5,VLOOKUP(E19,'(E) StatewideChange'!$B$5:$C$19,2,FALSE)/VLOOKUP(2026,'(E) StatewideChange'!$B$5:$C$19,2,FALSE),IF(B$17='(H) OptionLists'!$H$8,1,IF(B$17='(H) OptionLists'!$H$6,VLOOKUP(2026,'(E) StatewideChange'!$B$5:$C$19,2,FALSE)/VLOOKUP(E19,'(E) StatewideChange'!$B$5:$C$19,2,FALSE)*(2040-VALUE(LEFT(E19,4)))/(2040-2026),IF(B$17='(H) OptionLists'!$H$7,(1+C$17)^(VALUE(LEFT(E19,4))-2026),1))))),2)),IF($B$16='(H) OptionLists'!$C$14,IF(AND(B$17='(H) OptionLists'!$H$7,C$17=""),"Populate Cell C17",ROUND($C$16*(IF(B$17='(H) OptionLists'!$H$5,VLOOKUP(E19,'(E) StatewideChange'!$B$5:$C$19,2,FALSE)/VLOOKUP(2026,'(E) StatewideChange'!$B$5:$C$19,2,FALSE),IF(B$17='(H) OptionLists'!$H$8,1,IF(B$17='(H) OptionLists'!$H$6,(2040-VALUE(LEFT(E19,4)))/(2040-2026),IF(B$17='(H) OptionLists'!$H$7,(1+C$17)^(VALUE(LEFT(E19,4))-2026),1))))),2)),IF(B$16='(H) OptionLists'!$C$15,IF(K19="","Populate Column K",ROUND(K19,2)),IF(AND(B$17='(H) OptionLists'!$H$7,C$17=""),"Populate Cell C17",IFERROR(ROUND(VLOOKUP($B$16,EDU_CI_Lookup,2,FALSE)*(IF(B$17='(H) OptionLists'!$H$5,VLOOKUP(E19,'(E) StatewideChange'!$B$5:$C$19,2,FALSE)/VLOOKUP(2026,'(E) StatewideChange'!$B$5:$C$19,2,FALSE),IF(B$17='(H) OptionLists'!$H$8,1,IF(B$17='(H) OptionLists'!$H$6,(2040-VALUE(LEFT(E19,4)))/(2040-2026),IF(B$17='(H) OptionLists'!$H$7,(1+C$17)^(VALUE(LEFT(E19,4))-2026),1))))),2),"Select valid EDU option")))))))</f>
        <v>31.84</v>
      </c>
      <c r="H19" s="83">
        <f>IF(LEFT(F19,3)="Pop",F19,IF(LEFT(G19,3)="Pop",G19,IFERROR(IF(E19="","",ROUND((IF($B$12="Light-medium-duty (14k pounds or less)",3.4,5)*VLOOKUP(E19,'(B) CI Standard'!$B$5:$D$19,IF($B$12="Light-medium-duty (14k pounds or less)",2,3),FALSE)-G19)*3.6/1000*F19,0)),"")))</f>
        <v>30</v>
      </c>
      <c r="I19" s="85">
        <f>IF(E19="","",_xlfn.IFNA(IF(B$20='(H) OptionLists'!$E$7,IF(C$20="","Populate Cell C20",ROUND(C$20*IF($B$21="Nominal",1,INDEX('(G) Inflation'!$C$12:$N$16,MATCH($B$22,'(G) Inflation'!$B$12:$B$16,0),MATCH($C$21,'(F) Credit Price_nom'!$C$5:$Q$5,0))/INDEX('(G) Inflation'!$C$12:$N$16,MATCH($B$22,'(G) Inflation'!$B$12:$B$16,0),MATCH($E$7,'(F) Credit Price_nom'!$C$5:$Q$5,0))),2)),IF(B$20='(H) OptionLists'!$E$8,IF(L19="","Populate Column L",L19),ROUND(INDEX('(F) Credit Price_nom'!$C$6:$Q$7,MATCH($B$20,'(F) Credit Price_nom'!$B$6:$B$7,0),MATCH(E19,'(F)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82.85</v>
      </c>
      <c r="J19" s="86">
        <f t="shared" si="1"/>
        <v>2485.5</v>
      </c>
      <c r="K19" s="89"/>
      <c r="L19" s="24"/>
    </row>
    <row r="20" spans="1:12" s="21" customFormat="1" ht="16.95" customHeight="1" x14ac:dyDescent="0.4">
      <c r="A20" s="10" t="s">
        <v>30</v>
      </c>
      <c r="B20" s="17" t="s">
        <v>31</v>
      </c>
      <c r="C20" s="26">
        <v>50</v>
      </c>
      <c r="E20" s="81" cm="1">
        <f t="array" ref="E20">IF(B$19="All Years",INDEX(Years,ROW()-6),"")</f>
        <v>2039</v>
      </c>
      <c r="F20" s="83">
        <f t="shared" si="0"/>
        <v>41.0625</v>
      </c>
      <c r="G20" s="84">
        <f>IF(E20="","",IF(AND($B$16='(H) OptionLists'!$C$14,$C$16=""),"Populate Cell C16",IF($B$16='(H) OptionLists'!$C$5,IF(AND(B$17='(H) OptionLists'!$H$7,C$17=""),"Populate Cell C17",ROUND(StateGridAvg_2026*(IF(B$17='(H) OptionLists'!$H$5,VLOOKUP(E20,'(E) StatewideChange'!$B$5:$C$19,2,FALSE)/VLOOKUP(2026,'(E) StatewideChange'!$B$5:$C$19,2,FALSE),IF(B$17='(H) OptionLists'!$H$8,1,IF(B$17='(H) OptionLists'!$H$6,VLOOKUP(2026,'(E) StatewideChange'!$B$5:$C$19,2,FALSE)/VLOOKUP(E20,'(E) StatewideChange'!$B$5:$C$19,2,FALSE)*(2040-VALUE(LEFT(E20,4)))/(2040-2026),IF(B$17='(H) OptionLists'!$H$7,(1+C$17)^(VALUE(LEFT(E20,4))-2026),1))))),2)),IF($B$16='(H) OptionLists'!$C$14,IF(AND(B$17='(H) OptionLists'!$H$7,C$17=""),"Populate Cell C17",ROUND($C$16*(IF(B$17='(H) OptionLists'!$H$5,VLOOKUP(E20,'(E) StatewideChange'!$B$5:$C$19,2,FALSE)/VLOOKUP(2026,'(E) StatewideChange'!$B$5:$C$19,2,FALSE),IF(B$17='(H) OptionLists'!$H$8,1,IF(B$17='(H) OptionLists'!$H$6,(2040-VALUE(LEFT(E20,4)))/(2040-2026),IF(B$17='(H) OptionLists'!$H$7,(1+C$17)^(VALUE(LEFT(E20,4))-2026),1))))),2)),IF(B$16='(H) OptionLists'!$C$15,IF(K20="","Populate Column K",ROUND(K20,2)),IF(AND(B$17='(H) OptionLists'!$H$7,C$17=""),"Populate Cell C17",IFERROR(ROUND(VLOOKUP($B$16,EDU_CI_Lookup,2,FALSE)*(IF(B$17='(H) OptionLists'!$H$5,VLOOKUP(E20,'(E) StatewideChange'!$B$5:$C$19,2,FALSE)/VLOOKUP(2026,'(E) StatewideChange'!$B$5:$C$19,2,FALSE),IF(B$17='(H) OptionLists'!$H$8,1,IF(B$17='(H) OptionLists'!$H$6,(2040-VALUE(LEFT(E20,4)))/(2040-2026),IF(B$17='(H) OptionLists'!$H$7,(1+C$17)^(VALUE(LEFT(E20,4))-2026),1))))),2),"Select valid EDU option")))))))</f>
        <v>32.39</v>
      </c>
      <c r="H20" s="83">
        <f>IF(LEFT(F20,3)="Pop",F20,IF(LEFT(G20,3)="Pop",G20,IFERROR(IF(E20="","",ROUND((IF($B$12="Light-medium-duty (14k pounds or less)",3.4,5)*VLOOKUP(E20,'(B) CI Standard'!$B$5:$D$19,IF($B$12="Light-medium-duty (14k pounds or less)",2,3),FALSE)-G20)*3.6/1000*F20,0)),"")))</f>
        <v>29</v>
      </c>
      <c r="I20" s="85">
        <f>IF(E20="","",_xlfn.IFNA(IF(B$20='(H) OptionLists'!$E$7,IF(C$20="","Populate Cell C20",ROUND(C$20*IF($B$21="Nominal",1,INDEX('(G) Inflation'!$C$12:$N$16,MATCH($B$22,'(G) Inflation'!$B$12:$B$16,0),MATCH($C$21,'(F) Credit Price_nom'!$C$5:$Q$5,0))/INDEX('(G) Inflation'!$C$12:$N$16,MATCH($B$22,'(G) Inflation'!$B$12:$B$16,0),MATCH($E$7,'(F) Credit Price_nom'!$C$5:$Q$5,0))),2)),IF(B$20='(H) OptionLists'!$E$8,IF(L20="","Populate Column L",L20),ROUND(INDEX('(F) Credit Price_nom'!$C$6:$Q$7,MATCH($B$20,'(F) Credit Price_nom'!$B$6:$B$7,0),MATCH(E20,'(F)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84.72</v>
      </c>
      <c r="J20" s="86">
        <f t="shared" si="1"/>
        <v>2456.88</v>
      </c>
      <c r="K20" s="89"/>
      <c r="L20" s="24"/>
    </row>
    <row r="21" spans="1:12" s="21" customFormat="1" ht="16.2" customHeight="1" thickBot="1" x14ac:dyDescent="0.45">
      <c r="A21" s="10" t="s">
        <v>32</v>
      </c>
      <c r="B21" s="17" t="s">
        <v>33</v>
      </c>
      <c r="C21" s="9">
        <v>2026</v>
      </c>
      <c r="E21" s="82" t="str" cm="1">
        <f t="array" ref="E21">IF(B$19="All Years",INDEX(Years,ROW()-6),"")</f>
        <v>2040 and subsequent years</v>
      </c>
      <c r="F21" s="83">
        <f t="shared" si="0"/>
        <v>41.174999999999997</v>
      </c>
      <c r="G21" s="84">
        <f>IF(E21="","",IF(AND($B$16='(H) OptionLists'!$C$14,$C$16=""),"Populate Cell C16",IF($B$16='(H) OptionLists'!$C$5,IF(AND(B$17='(H) OptionLists'!$H$7,C$17=""),"Populate Cell C17",ROUND(StateGridAvg_2026*(IF(B$17='(H) OptionLists'!$H$5,VLOOKUP(E21,'(E) StatewideChange'!$B$5:$C$19,2,FALSE)/VLOOKUP(2026,'(E) StatewideChange'!$B$5:$C$19,2,FALSE),IF(B$17='(H) OptionLists'!$H$8,1,IF(B$17='(H) OptionLists'!$H$6,VLOOKUP(2026,'(E) StatewideChange'!$B$5:$C$19,2,FALSE)/VLOOKUP(E21,'(E) StatewideChange'!$B$5:$C$19,2,FALSE)*(2040-VALUE(LEFT(E21,4)))/(2040-2026),IF(B$17='(H) OptionLists'!$H$7,(1+C$17)^(VALUE(LEFT(E21,4))-2026),1))))),2)),IF($B$16='(H) OptionLists'!$C$14,IF(AND(B$17='(H) OptionLists'!$H$7,C$17=""),"Populate Cell C17",ROUND($C$16*(IF(B$17='(H) OptionLists'!$H$5,VLOOKUP(E21,'(E) StatewideChange'!$B$5:$C$19,2,FALSE)/VLOOKUP(2026,'(E) StatewideChange'!$B$5:$C$19,2,FALSE),IF(B$17='(H) OptionLists'!$H$8,1,IF(B$17='(H) OptionLists'!$H$6,(2040-VALUE(LEFT(E21,4)))/(2040-2026),IF(B$17='(H) OptionLists'!$H$7,(1+C$17)^(VALUE(LEFT(E21,4))-2026),1))))),2)),IF(B$16='(H) OptionLists'!$C$15,IF(K21="","Populate Column K",ROUND(K21,2)),IF(AND(B$17='(H) OptionLists'!$H$7,C$17=""),"Populate Cell C17",IFERROR(ROUND(VLOOKUP($B$16,EDU_CI_Lookup,2,FALSE)*(IF(B$17='(H) OptionLists'!$H$5,VLOOKUP(E21,'(E) StatewideChange'!$B$5:$C$19,2,FALSE)/VLOOKUP(2026,'(E) StatewideChange'!$B$5:$C$19,2,FALSE),IF(B$17='(H) OptionLists'!$H$8,1,IF(B$17='(H) OptionLists'!$H$6,(2040-VALUE(LEFT(E21,4)))/(2040-2026),IF(B$17='(H) OptionLists'!$H$7,(1+C$17)^(VALUE(LEFT(E21,4))-2026),1))))),2),"Select valid EDU option")))))))</f>
        <v>27.23</v>
      </c>
      <c r="H21" s="83">
        <f>IF(LEFT(F21,3)="Pop",F21,IF(LEFT(G21,3)="Pop",G21,IFERROR(IF(E21="","",ROUND((IF($B$12="Light-medium-duty (14k pounds or less)",3.4,5)*VLOOKUP(E21,'(B) CI Standard'!$B$5:$D$19,IF($B$12="Light-medium-duty (14k pounds or less)",2,3),FALSE)-G21)*3.6/1000*F21,0)),"")))</f>
        <v>30</v>
      </c>
      <c r="I21" s="85">
        <f>IF(E21="","",_xlfn.IFNA(IF(B$20='(H) OptionLists'!$E$7,IF(C$20="","Populate Cell C20",ROUND(C$20*IF($B$21="Nominal",1,INDEX('(G) Inflation'!$C$12:$N$16,MATCH($B$22,'(G) Inflation'!$B$12:$B$16,0),MATCH($C$21,'(F) Credit Price_nom'!$C$5:$Q$5,0))/INDEX('(G) Inflation'!$C$12:$N$16,MATCH($B$22,'(G) Inflation'!$B$12:$B$16,0),MATCH($E$7,'(F) Credit Price_nom'!$C$5:$Q$5,0))),2)),IF(B$20='(H) OptionLists'!$E$8,IF(L21="","Populate Column L",L21),ROUND(INDEX('(F) Credit Price_nom'!$C$6:$Q$7,MATCH($B$20,'(F) Credit Price_nom'!$B$6:$B$7,0),MATCH(E21,'(F) Credit Price_nom'!$C$5:$Q$5,0))*IF($B$21="Nominal",1,INDEX('(G) Inflation'!$C$12:$N$16,MATCH($B$22,'(G) Inflation'!$B$12:$B$16,0),MATCH($C$21,'(F) Credit Price_nom'!$C$5:$Q$5,0))/INDEX('(G) Inflation'!$C$12:$N$16,MATCH($B$22,'(G) Inflation'!$B$12:$B$16,0),MATCH($E$7,'(F) Credit Price_nom'!$C$5:$Q$5,0))),2))),IF(AND($B$19="single year",$C$19=""),"Populate Cell C19",IF(AND($B$21="Real (input dollar year in Column C)",$C$21=""),"Populate Cell C21","Check Cells C18:C21"))))</f>
        <v>86.64</v>
      </c>
      <c r="J21" s="86">
        <f t="shared" si="1"/>
        <v>2599.1999999999998</v>
      </c>
      <c r="K21" s="89"/>
    </row>
    <row r="22" spans="1:12" s="21" customFormat="1" ht="18" customHeight="1" thickBot="1" x14ac:dyDescent="0.35">
      <c r="A22" s="18" t="s">
        <v>189</v>
      </c>
      <c r="B22" s="19" t="s">
        <v>110</v>
      </c>
      <c r="C22" s="27"/>
      <c r="E22" s="25"/>
      <c r="F22" s="25"/>
      <c r="G22" s="25"/>
      <c r="H22" s="25"/>
      <c r="I22" s="87" t="s">
        <v>35</v>
      </c>
      <c r="J22" s="88">
        <f>IF(LEFT(J21,3)="Pop",J21,SUM(J7:J21))</f>
        <v>35888.879999999997</v>
      </c>
    </row>
    <row r="23" spans="1:12" s="21" customFormat="1" ht="8.4" customHeight="1" x14ac:dyDescent="0.3">
      <c r="B23" s="25"/>
      <c r="C23" s="80"/>
      <c r="E23" s="25"/>
      <c r="F23" s="25"/>
      <c r="G23" s="25"/>
      <c r="H23" s="25"/>
      <c r="I23" s="25"/>
      <c r="J23" s="25"/>
    </row>
    <row r="24" spans="1:12" s="21" customFormat="1" ht="18" customHeight="1" x14ac:dyDescent="0.4">
      <c r="A24" s="66" t="s">
        <v>151</v>
      </c>
      <c r="B24" s="25"/>
      <c r="C24" s="80"/>
      <c r="E24" s="25"/>
      <c r="F24" s="25"/>
      <c r="G24" s="25"/>
      <c r="H24" s="25"/>
      <c r="I24" s="25"/>
      <c r="J24" s="25"/>
    </row>
    <row r="25" spans="1:12" s="21" customFormat="1" ht="18" customHeight="1" x14ac:dyDescent="0.4">
      <c r="A25" s="66" t="s">
        <v>199</v>
      </c>
      <c r="B25" s="25"/>
      <c r="C25" s="80"/>
      <c r="E25" s="25"/>
      <c r="F25" s="25"/>
      <c r="G25" s="25"/>
      <c r="H25" s="25"/>
      <c r="I25" s="25"/>
      <c r="J25" s="25"/>
    </row>
    <row r="26" spans="1:12" s="21" customFormat="1" x14ac:dyDescent="0.4">
      <c r="A26" s="66" t="s">
        <v>200</v>
      </c>
      <c r="B26" s="25"/>
      <c r="E26" s="25"/>
      <c r="F26" s="25"/>
      <c r="G26" s="25"/>
      <c r="H26" s="25"/>
      <c r="I26" s="25"/>
      <c r="J26" s="25"/>
    </row>
    <row r="27" spans="1:12" s="21" customFormat="1" x14ac:dyDescent="0.4">
      <c r="A27" s="66" t="s">
        <v>201</v>
      </c>
      <c r="B27" s="25"/>
      <c r="E27" s="25"/>
      <c r="F27" s="25"/>
      <c r="G27" s="25"/>
      <c r="H27" s="25"/>
      <c r="I27" s="25"/>
      <c r="J27" s="25"/>
    </row>
    <row r="28" spans="1:12" ht="18" customHeight="1" x14ac:dyDescent="0.4">
      <c r="A28" s="66" t="s">
        <v>202</v>
      </c>
      <c r="B28" s="25"/>
      <c r="C28" s="21"/>
    </row>
    <row r="29" spans="1:12" ht="18" customHeight="1" x14ac:dyDescent="0.3">
      <c r="A29" s="63"/>
      <c r="B29" s="67"/>
      <c r="C29" s="30"/>
    </row>
    <row r="30" spans="1:12" ht="18" customHeight="1" x14ac:dyDescent="0.3">
      <c r="A30" s="63"/>
      <c r="B30" s="67"/>
    </row>
    <row r="31" spans="1:12" ht="18" customHeight="1" x14ac:dyDescent="0.3">
      <c r="A31" s="63"/>
      <c r="B31" s="67"/>
    </row>
    <row r="32" spans="1:12" ht="18" customHeight="1" x14ac:dyDescent="0.3">
      <c r="A32" s="63"/>
      <c r="B32" s="67"/>
    </row>
    <row r="33" spans="1:2" ht="18" customHeight="1" x14ac:dyDescent="0.3">
      <c r="A33" s="63"/>
      <c r="B33" s="67"/>
    </row>
    <row r="34" spans="1:2" ht="18" customHeight="1" x14ac:dyDescent="0.3">
      <c r="A34" s="63"/>
      <c r="B34" s="67"/>
    </row>
    <row r="35" spans="1:2" ht="18" customHeight="1" x14ac:dyDescent="0.3">
      <c r="A35" s="63"/>
      <c r="B35" s="67"/>
    </row>
    <row r="36" spans="1:2" ht="18" customHeight="1" x14ac:dyDescent="0.3">
      <c r="A36" s="63"/>
      <c r="B36" s="67"/>
    </row>
    <row r="37" spans="1:2" ht="18" customHeight="1" x14ac:dyDescent="0.3">
      <c r="A37" s="63"/>
      <c r="B37" s="67"/>
    </row>
    <row r="38" spans="1:2" ht="18" customHeight="1" x14ac:dyDescent="0.3">
      <c r="A38" s="63"/>
      <c r="B38" s="67"/>
    </row>
    <row r="39" spans="1:2" ht="18" customHeight="1" x14ac:dyDescent="0.3">
      <c r="A39" s="63"/>
      <c r="B39" s="67"/>
    </row>
    <row r="40" spans="1:2" ht="18" customHeight="1" x14ac:dyDescent="0.3">
      <c r="A40" s="63"/>
      <c r="B40" s="67"/>
    </row>
    <row r="41" spans="1:2" ht="18" customHeight="1" x14ac:dyDescent="0.3">
      <c r="A41" s="63"/>
      <c r="B41" s="67"/>
    </row>
    <row r="42" spans="1:2" ht="18" customHeight="1" x14ac:dyDescent="0.3">
      <c r="A42" s="63"/>
      <c r="B42" s="67"/>
    </row>
    <row r="43" spans="1:2" ht="18" customHeight="1" x14ac:dyDescent="0.3">
      <c r="A43" s="63"/>
      <c r="B43" s="67"/>
    </row>
    <row r="44" spans="1:2" ht="18" customHeight="1" x14ac:dyDescent="0.3">
      <c r="A44" s="63"/>
      <c r="B44" s="67"/>
    </row>
  </sheetData>
  <mergeCells count="11">
    <mergeCell ref="E5:E6"/>
    <mergeCell ref="A1:J1"/>
    <mergeCell ref="A2:J2"/>
    <mergeCell ref="E4:J4"/>
    <mergeCell ref="A18:B18"/>
    <mergeCell ref="A9:B9"/>
    <mergeCell ref="A6:B6"/>
    <mergeCell ref="A4:B4"/>
    <mergeCell ref="A7:B7"/>
    <mergeCell ref="A10:B10"/>
    <mergeCell ref="A5:B5"/>
  </mergeCells>
  <conditionalFormatting sqref="A22">
    <cfRule type="expression" dxfId="24" priority="46">
      <formula>$B$21="Nominal"</formula>
    </cfRule>
  </conditionalFormatting>
  <conditionalFormatting sqref="A29:A44">
    <cfRule type="expression" dxfId="23" priority="71">
      <formula>$A$29=""</formula>
    </cfRule>
  </conditionalFormatting>
  <conditionalFormatting sqref="A17:B17">
    <cfRule type="expression" dxfId="22" priority="39">
      <formula>$B$16="Manual (Different annual CIs)"</formula>
    </cfRule>
  </conditionalFormatting>
  <conditionalFormatting sqref="B29:B44">
    <cfRule type="expression" dxfId="21" priority="70">
      <formula>$A$29=""</formula>
    </cfRule>
  </conditionalFormatting>
  <conditionalFormatting sqref="B22:C22 C23:C25">
    <cfRule type="expression" dxfId="20" priority="73">
      <formula>$B$21="Nominal"</formula>
    </cfRule>
  </conditionalFormatting>
  <conditionalFormatting sqref="C14">
    <cfRule type="expression" dxfId="19" priority="51">
      <formula>$B$14="Manual"</formula>
    </cfRule>
  </conditionalFormatting>
  <conditionalFormatting sqref="C15">
    <cfRule type="expression" dxfId="18" priority="78">
      <formula>$B$15="Manual"</formula>
    </cfRule>
  </conditionalFormatting>
  <conditionalFormatting sqref="C16">
    <cfRule type="expression" dxfId="17" priority="34">
      <formula>$B$16="Manual (Single CI)"</formula>
    </cfRule>
  </conditionalFormatting>
  <conditionalFormatting sqref="C17">
    <cfRule type="expression" dxfId="16" priority="32">
      <formula>$B$17="Manual percentage"</formula>
    </cfRule>
  </conditionalFormatting>
  <conditionalFormatting sqref="C19">
    <cfRule type="expression" dxfId="15" priority="76">
      <formula>$B$19="Single year"</formula>
    </cfRule>
  </conditionalFormatting>
  <conditionalFormatting sqref="C20">
    <cfRule type="expression" dxfId="14" priority="75">
      <formula>$B$20="Manual (Single price)"</formula>
    </cfRule>
  </conditionalFormatting>
  <conditionalFormatting sqref="C21">
    <cfRule type="expression" dxfId="13" priority="74">
      <formula>$B$21="Real (Input dollar year in Column C)"</formula>
    </cfRule>
  </conditionalFormatting>
  <conditionalFormatting sqref="C29">
    <cfRule type="expression" dxfId="12" priority="90">
      <formula>$B$16="Gen Mix"</formula>
    </cfRule>
  </conditionalFormatting>
  <conditionalFormatting sqref="E7">
    <cfRule type="expression" dxfId="11" priority="72">
      <formula>$E$7="Populate cell C18"</formula>
    </cfRule>
  </conditionalFormatting>
  <conditionalFormatting sqref="F22:H22">
    <cfRule type="expression" dxfId="10" priority="10">
      <formula>LEFT($J22,3)="Pop"</formula>
    </cfRule>
  </conditionalFormatting>
  <conditionalFormatting sqref="F7:J21">
    <cfRule type="expression" dxfId="9" priority="11">
      <formula>LEFT($J7,3)="Pop"</formula>
    </cfRule>
  </conditionalFormatting>
  <conditionalFormatting sqref="I22:J22">
    <cfRule type="expression" dxfId="8" priority="4">
      <formula>LEFT($J$7,3)="Pop"</formula>
    </cfRule>
  </conditionalFormatting>
  <conditionalFormatting sqref="K6">
    <cfRule type="expression" dxfId="7" priority="53">
      <formula>B$16="Manual (different annual CIs)"</formula>
    </cfRule>
  </conditionalFormatting>
  <conditionalFormatting sqref="K6:K21">
    <cfRule type="expression" dxfId="6" priority="91">
      <formula>B$16="Manual (different annual CIs)"</formula>
    </cfRule>
  </conditionalFormatting>
  <conditionalFormatting sqref="K2:L3">
    <cfRule type="expression" dxfId="5" priority="92">
      <formula>B16="Manual (different annual CIs)"</formula>
    </cfRule>
  </conditionalFormatting>
  <conditionalFormatting sqref="L2:L3">
    <cfRule type="expression" dxfId="4" priority="96">
      <formula>B20="Manual (different annual prices)"</formula>
    </cfRule>
  </conditionalFormatting>
  <conditionalFormatting sqref="L6">
    <cfRule type="expression" dxfId="3" priority="97">
      <formula>B$20="Manual (different annual prices)"</formula>
    </cfRule>
  </conditionalFormatting>
  <conditionalFormatting sqref="L7:L21">
    <cfRule type="expression" dxfId="2" priority="98">
      <formula>B$20="Manual (different annual prices)"</formula>
    </cfRule>
  </conditionalFormatting>
  <conditionalFormatting sqref="E8:M22">
    <cfRule type="expression" dxfId="1" priority="2">
      <formula>$B$19="Single year"</formula>
    </cfRule>
  </conditionalFormatting>
  <conditionalFormatting sqref="E8:J8">
    <cfRule type="expression" dxfId="0" priority="1">
      <formula>$B$19="Single year"</formula>
    </cfRule>
  </conditionalFormatting>
  <dataValidations count="21">
    <dataValidation type="list" allowBlank="1" showInputMessage="1" showErrorMessage="1" sqref="B11" xr:uid="{6674BA2C-FA67-4497-B519-78B4C845ED4C}">
      <formula1>"Level-2 Charger,Direct Current Fast Charger"</formula1>
    </dataValidation>
    <dataValidation type="whole" operator="greaterThanOrEqual" allowBlank="1" showInputMessage="1" showErrorMessage="1" errorTitle="ERROR" error="Number of chargers must be a whole number greater than zero." sqref="B13" xr:uid="{B5971E6B-5476-48B4-AA02-28AC37B71EE6}">
      <formula1>1</formula1>
    </dataValidation>
    <dataValidation type="list" allowBlank="1" showInputMessage="1" showErrorMessage="1" sqref="B12" xr:uid="{DD7713B4-8774-40D7-AE06-5194FCE94328}">
      <formula1>"Light-medium-duty (14k pounds or less),Medium-heavy-duty (above 14k pounds)"</formula1>
    </dataValidation>
    <dataValidation type="list" allowBlank="1" showInputMessage="1" showErrorMessage="1" sqref="B14" xr:uid="{96284D23-ACD2-43E7-A54C-5F8CEAEDAE0A}">
      <formula1>IF($B$11="Level-2 Charger",Capacity__Level2,IF($B$11="Direct Current Fast Charger",Capacity__DCFC,"Select Charger Type"))</formula1>
    </dataValidation>
    <dataValidation type="list" allowBlank="1" showInputMessage="1" showErrorMessage="1" sqref="B15" xr:uid="{B45AF211-B546-42D3-BBA3-AF25ED6CC03F}">
      <formula1>IF($B$11="Level-2 Charger",DailyUse__Level2,IF($B$11="Direct Current Fast Charger",DailyUse__DCFC,"Select Charger Type"))</formula1>
    </dataValidation>
    <dataValidation type="list" allowBlank="1" showInputMessage="1" showErrorMessage="1" sqref="B20" xr:uid="{3FEF757F-5223-4FA2-9C91-6C4EB4856F12}">
      <formula1>IF($B$19="Single year",PricesSingle,PricesMulti)</formula1>
    </dataValidation>
    <dataValidation type="custom" showErrorMessage="1" errorTitle="Error" error="To populate this cell, &quot;Single year&quot; must be selected for this row in Column B, and a year after 2025 must be entered in this cell. _x000a__x000a_For years after 2039, you must enter &quot;2040 and subsequent years.&quot;" sqref="C19" xr:uid="{F0895D7F-7EFC-47AA-9F22-754DFEA71A12}">
      <formula1>IF(AND(B19="Single year",COUNTIF(Years,C19)&gt;0),Years)</formula1>
    </dataValidation>
    <dataValidation type="list" sqref="B19" xr:uid="{E80870EC-ACBF-4049-BE32-9AF660A94F3D}">
      <formula1>"All years,Single year"</formula1>
    </dataValidation>
    <dataValidation type="list" allowBlank="1" showInputMessage="1" showErrorMessage="1" sqref="B21" xr:uid="{F13749ED-4822-4C04-8CBA-65173BB766CE}">
      <formula1>"Nominal,Real (input dollar year in Column C)"</formula1>
    </dataValidation>
    <dataValidation type="custom" allowBlank="1" showInputMessage="1" showErrorMessage="1" errorTitle="Error" error="No manual entry option for this cell." sqref="C11:C12" xr:uid="{5A75A79A-F0F3-4B08-B379-9EE69B65E3F2}">
      <formula1>B11="Manual"</formula1>
    </dataValidation>
    <dataValidation type="custom" allowBlank="1" showInputMessage="1" showErrorMessage="1" errorTitle="Error" error="Entry in Column B for this row is already manual" sqref="C13" xr:uid="{D5635A0B-8788-45B1-A1C8-120B706C9184}">
      <formula1>B12="Manual"</formula1>
    </dataValidation>
    <dataValidation type="custom" allowBlank="1" showInputMessage="1" showErrorMessage="1" errorTitle="Error" error="&quot;Manual&quot; must be selected in this row for Column B to populate_x000a_ " sqref="C14:C15" xr:uid="{67F00D00-07A0-451E-A36D-DE609DA24F88}">
      <formula1>B14="Manual"</formula1>
    </dataValidation>
    <dataValidation type="custom" allowBlank="1" showInputMessage="1" showErrorMessage="1" errorTitle="Error" error="Populate this cell if you have selected &quot;Manual (single price)&quot; in Column B for this row." sqref="C20" xr:uid="{F15560D8-781E-42B0-AA34-B2D35003485C}">
      <formula1>B20="Manual (single price)"</formula1>
    </dataValidation>
    <dataValidation type="custom" showErrorMessage="1" errorTitle="Error" error="To populate this cell, &quot;Single year&quot; must be selected for this row in Column B, and a year after 2025 must be entered in this cell. _x000a__x000a_For years after 2039, you must enter &quot;2040 and subsequent years.&quot;" sqref="C21" xr:uid="{F8A195E2-C6DE-4589-B124-2E4F997A17E8}">
      <formula1>IF(AND(B21="Real (input dollar year in Column C)",COUNTIF(Years,C21)&gt;0),Years)</formula1>
    </dataValidation>
    <dataValidation type="list" allowBlank="1" showInputMessage="1" showErrorMessage="1" sqref="B22" xr:uid="{DA54898E-6B13-4E8D-B118-D7374340A076}">
      <formula1>IF($B$21="Nominal",NoInflation,Inflation)</formula1>
    </dataValidation>
    <dataValidation type="custom" allowBlank="1" showInputMessage="1" showErrorMessage="1" errorTitle="Error" error="&quot;Manual (single CI)&quot; must be selected in this row for Column B to populate_x000a_ " sqref="C16" xr:uid="{7C1CD289-7F40-4D9E-BF76-9C6CC68092F7}">
      <formula1>B16="Manual (single CI)"</formula1>
    </dataValidation>
    <dataValidation type="list" allowBlank="1" showInputMessage="1" showErrorMessage="1" sqref="B16" xr:uid="{26006688-ADF4-420F-A46B-2AEA5A514CEA}">
      <formula1>IF($B$19="Single year",GridCISingle,GridCIMulti)</formula1>
    </dataValidation>
    <dataValidation type="list" allowBlank="1" showInputMessage="1" showErrorMessage="1" sqref="B17" xr:uid="{04F7FDD8-E113-4F63-B4AE-1F434992051F}">
      <formula1>IF($B$16="Manual (Different annual CIs)",NoManualChange,AnnualCIchange)</formula1>
    </dataValidation>
    <dataValidation type="custom" allowBlank="1" showInputMessage="1" showErrorMessage="1" errorTitle="Error" error="&quot;Manual percentage&quot; must be selected in this row for Column B to populate_x000a_ " sqref="C17" xr:uid="{FE08F808-2DB3-4FE2-B471-B1C0B570B79D}">
      <formula1>B17="Manual percentage"</formula1>
    </dataValidation>
    <dataValidation type="custom" allowBlank="1" showInputMessage="1" showErrorMessage="1" errorTitle="Error" error="No manual entry option for this cell." sqref="C22:C24" xr:uid="{DA36186F-A08B-4D89-8E0D-90B5BB9B27A3}">
      <formula1>B11="Manual"</formula1>
    </dataValidation>
    <dataValidation type="custom" allowBlank="1" showInputMessage="1" showErrorMessage="1" errorTitle="Error" error="No manual entry option for this cell." sqref="C25" xr:uid="{468DBB27-2BEF-4E89-84CD-59C559E19E9B}">
      <formula1>B13="Manual"</formula1>
    </dataValidation>
  </dataValidations>
  <pageMargins left="0.7" right="0.7" top="0.75" bottom="0.75" header="0.3" footer="0.3"/>
  <pageSetup orientation="portrait" horizontalDpi="1200" verticalDpi="12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4F1E2"/>
  </sheetPr>
  <dimension ref="B1:L18"/>
  <sheetViews>
    <sheetView zoomScale="120" zoomScaleNormal="120" workbookViewId="0">
      <selection activeCell="M10" sqref="M10"/>
    </sheetView>
  </sheetViews>
  <sheetFormatPr defaultRowHeight="14.4" x14ac:dyDescent="0.3"/>
  <cols>
    <col min="1" max="1" width="3.6640625" customWidth="1"/>
    <col min="2" max="2" width="17" customWidth="1"/>
    <col min="3" max="4" width="17.33203125" customWidth="1"/>
    <col min="5" max="5" width="15.88671875" customWidth="1"/>
  </cols>
  <sheetData>
    <row r="1" spans="2:12" ht="22.5" customHeight="1" x14ac:dyDescent="0.3">
      <c r="B1" s="115" t="s">
        <v>37</v>
      </c>
      <c r="C1" s="116"/>
      <c r="D1" s="116"/>
      <c r="E1" s="116"/>
      <c r="F1" s="116"/>
      <c r="G1" s="116"/>
      <c r="H1" s="116"/>
      <c r="I1" s="116"/>
      <c r="J1" s="116"/>
      <c r="K1" s="116"/>
      <c r="L1" s="117"/>
    </row>
    <row r="2" spans="2:12" ht="20.25" customHeight="1" thickBot="1" x14ac:dyDescent="0.5">
      <c r="B2" s="118" t="s">
        <v>38</v>
      </c>
      <c r="C2" s="119"/>
      <c r="D2" s="119"/>
      <c r="E2" s="119"/>
      <c r="F2" s="119"/>
      <c r="G2" s="119"/>
      <c r="H2" s="119"/>
      <c r="I2" s="119"/>
      <c r="J2" s="119"/>
      <c r="K2" s="119"/>
      <c r="L2" s="120"/>
    </row>
    <row r="3" spans="2:12" ht="6.6" customHeight="1" x14ac:dyDescent="0.3"/>
    <row r="4" spans="2:12" ht="45" customHeight="1" x14ac:dyDescent="0.3">
      <c r="B4" s="52" t="s">
        <v>39</v>
      </c>
      <c r="C4" s="52" t="s">
        <v>40</v>
      </c>
      <c r="D4" s="52" t="s">
        <v>41</v>
      </c>
      <c r="E4" s="52" t="s">
        <v>42</v>
      </c>
    </row>
    <row r="5" spans="2:12" x14ac:dyDescent="0.3">
      <c r="B5" s="54">
        <v>7.2</v>
      </c>
      <c r="C5" s="55">
        <v>75</v>
      </c>
      <c r="D5" s="54">
        <v>1.2</v>
      </c>
      <c r="E5" s="54">
        <v>0.3</v>
      </c>
    </row>
    <row r="6" spans="2:12" x14ac:dyDescent="0.3">
      <c r="B6" s="54">
        <v>13.2</v>
      </c>
      <c r="C6" s="55">
        <v>150</v>
      </c>
      <c r="D6" s="54">
        <v>2.4</v>
      </c>
      <c r="E6" s="54">
        <v>0.6</v>
      </c>
    </row>
    <row r="7" spans="2:12" x14ac:dyDescent="0.3">
      <c r="B7" s="54">
        <v>19.2</v>
      </c>
      <c r="C7" s="55">
        <v>300</v>
      </c>
      <c r="D7" s="54">
        <v>4.8</v>
      </c>
      <c r="E7" s="54">
        <v>1.2</v>
      </c>
    </row>
    <row r="8" spans="2:12" x14ac:dyDescent="0.3">
      <c r="B8" s="56" t="s">
        <v>43</v>
      </c>
      <c r="C8" s="56" t="s">
        <v>43</v>
      </c>
      <c r="D8" s="56" t="s">
        <v>43</v>
      </c>
      <c r="E8" s="56" t="s">
        <v>43</v>
      </c>
    </row>
    <row r="10" spans="2:12" ht="15" customHeight="1" x14ac:dyDescent="0.3">
      <c r="B10" s="57" t="s">
        <v>44</v>
      </c>
    </row>
    <row r="11" spans="2:12" ht="15" customHeight="1" x14ac:dyDescent="0.3">
      <c r="B11" s="57" t="s">
        <v>137</v>
      </c>
    </row>
    <row r="13" spans="2:12" ht="15" customHeight="1" x14ac:dyDescent="0.3">
      <c r="B13" s="57" t="s">
        <v>45</v>
      </c>
    </row>
    <row r="14" spans="2:12" ht="15" customHeight="1" x14ac:dyDescent="0.3">
      <c r="B14" s="57" t="s">
        <v>46</v>
      </c>
    </row>
    <row r="15" spans="2:12" ht="15" customHeight="1" x14ac:dyDescent="0.3">
      <c r="B15" s="58" t="s">
        <v>135</v>
      </c>
    </row>
    <row r="17" spans="2:2" ht="15" customHeight="1" x14ac:dyDescent="0.3">
      <c r="B17" s="57" t="s">
        <v>47</v>
      </c>
    </row>
    <row r="18" spans="2:2" ht="15" customHeight="1" x14ac:dyDescent="0.3">
      <c r="B18" s="58" t="s">
        <v>136</v>
      </c>
    </row>
  </sheetData>
  <mergeCells count="2">
    <mergeCell ref="B1:L1"/>
    <mergeCell ref="B2:L2"/>
  </mergeCells>
  <hyperlinks>
    <hyperlink ref="B15" r:id="rId1" location="page=4" xr:uid="{00000000-0004-0000-0200-000000000000}"/>
    <hyperlink ref="B18" r:id="rId2" location="page=8" xr:uid="{46B0C2CA-8397-406F-8E19-43C0A3F1AF5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F1E2"/>
  </sheetPr>
  <dimension ref="B1:J19"/>
  <sheetViews>
    <sheetView zoomScale="120" zoomScaleNormal="120" workbookViewId="0">
      <selection activeCell="H22" sqref="H22"/>
    </sheetView>
  </sheetViews>
  <sheetFormatPr defaultRowHeight="14.4" x14ac:dyDescent="0.3"/>
  <cols>
    <col min="1" max="1" width="3.6640625" customWidth="1"/>
    <col min="2" max="2" width="23.6640625" customWidth="1"/>
  </cols>
  <sheetData>
    <row r="1" spans="2:10" ht="22.5" customHeight="1" x14ac:dyDescent="0.3">
      <c r="B1" s="115" t="s">
        <v>48</v>
      </c>
      <c r="C1" s="116"/>
      <c r="D1" s="116"/>
      <c r="E1" s="116"/>
      <c r="F1" s="116"/>
      <c r="G1" s="116"/>
      <c r="H1" s="116"/>
      <c r="I1" s="64"/>
      <c r="J1" s="65"/>
    </row>
    <row r="2" spans="2:10" ht="20.25" customHeight="1" thickBot="1" x14ac:dyDescent="0.5">
      <c r="B2" s="118" t="s">
        <v>49</v>
      </c>
      <c r="C2" s="119"/>
      <c r="D2" s="119"/>
      <c r="E2" s="119"/>
      <c r="F2" s="119"/>
      <c r="G2" s="119"/>
      <c r="H2" s="119"/>
      <c r="I2" s="119"/>
      <c r="J2" s="120"/>
    </row>
    <row r="3" spans="2:10" ht="8.4" customHeight="1" x14ac:dyDescent="0.3"/>
    <row r="4" spans="2:10" x14ac:dyDescent="0.3">
      <c r="B4" s="41" t="s">
        <v>12</v>
      </c>
      <c r="C4" s="41" t="s">
        <v>50</v>
      </c>
      <c r="D4" s="41" t="s">
        <v>51</v>
      </c>
    </row>
    <row r="5" spans="2:10" x14ac:dyDescent="0.3">
      <c r="B5" s="41">
        <v>2026</v>
      </c>
      <c r="C5" s="53">
        <v>93.89</v>
      </c>
      <c r="D5" s="53">
        <v>93.81</v>
      </c>
    </row>
    <row r="6" spans="2:10" x14ac:dyDescent="0.3">
      <c r="B6" s="41">
        <v>2027</v>
      </c>
      <c r="C6" s="53">
        <v>92.45</v>
      </c>
      <c r="D6" s="53">
        <v>92.38</v>
      </c>
    </row>
    <row r="7" spans="2:10" x14ac:dyDescent="0.3">
      <c r="B7" s="41">
        <v>2028</v>
      </c>
      <c r="C7" s="53">
        <v>89.87</v>
      </c>
      <c r="D7" s="53">
        <v>89.8</v>
      </c>
    </row>
    <row r="8" spans="2:10" x14ac:dyDescent="0.3">
      <c r="B8" s="41">
        <v>2029</v>
      </c>
      <c r="C8" s="53">
        <v>85.09</v>
      </c>
      <c r="D8" s="53">
        <v>85.02</v>
      </c>
    </row>
    <row r="9" spans="2:10" x14ac:dyDescent="0.3">
      <c r="B9" s="41">
        <v>2030</v>
      </c>
      <c r="C9" s="53">
        <v>76.489999999999995</v>
      </c>
      <c r="D9" s="53">
        <v>76.42</v>
      </c>
    </row>
    <row r="10" spans="2:10" x14ac:dyDescent="0.3">
      <c r="B10" s="41">
        <v>2031</v>
      </c>
      <c r="C10" s="53">
        <v>75.53</v>
      </c>
      <c r="D10" s="53">
        <v>75.47</v>
      </c>
    </row>
    <row r="11" spans="2:10" x14ac:dyDescent="0.3">
      <c r="B11" s="41">
        <v>2032</v>
      </c>
      <c r="C11" s="53">
        <v>74.58</v>
      </c>
      <c r="D11" s="53">
        <v>74.510000000000005</v>
      </c>
    </row>
    <row r="12" spans="2:10" x14ac:dyDescent="0.3">
      <c r="B12" s="41">
        <v>2033</v>
      </c>
      <c r="C12" s="53">
        <v>73.62</v>
      </c>
      <c r="D12" s="53">
        <v>73.56</v>
      </c>
    </row>
    <row r="13" spans="2:10" x14ac:dyDescent="0.3">
      <c r="B13" s="41">
        <v>2034</v>
      </c>
      <c r="C13" s="53">
        <v>72.66</v>
      </c>
      <c r="D13" s="53">
        <v>72.599999999999994</v>
      </c>
    </row>
    <row r="14" spans="2:10" x14ac:dyDescent="0.3">
      <c r="B14" s="41">
        <v>2035</v>
      </c>
      <c r="C14" s="53">
        <v>71.709999999999994</v>
      </c>
      <c r="D14" s="53">
        <v>71.650000000000006</v>
      </c>
    </row>
    <row r="15" spans="2:10" x14ac:dyDescent="0.3">
      <c r="B15" s="41">
        <v>2036</v>
      </c>
      <c r="C15" s="53">
        <v>70.75</v>
      </c>
      <c r="D15" s="53">
        <v>70.69</v>
      </c>
    </row>
    <row r="16" spans="2:10" x14ac:dyDescent="0.3">
      <c r="B16" s="41">
        <v>2037</v>
      </c>
      <c r="C16" s="53">
        <v>69.8</v>
      </c>
      <c r="D16" s="53">
        <v>69.739999999999995</v>
      </c>
    </row>
    <row r="17" spans="2:4" x14ac:dyDescent="0.3">
      <c r="B17" s="41">
        <v>2038</v>
      </c>
      <c r="C17" s="53">
        <v>68.84</v>
      </c>
      <c r="D17" s="53">
        <v>68.78</v>
      </c>
    </row>
    <row r="18" spans="2:4" x14ac:dyDescent="0.3">
      <c r="B18" s="41">
        <v>2039</v>
      </c>
      <c r="C18" s="53">
        <v>67.88</v>
      </c>
      <c r="D18" s="53">
        <v>67.83</v>
      </c>
    </row>
    <row r="19" spans="2:4" ht="28.8" x14ac:dyDescent="0.3">
      <c r="B19" s="52" t="s">
        <v>52</v>
      </c>
      <c r="C19" s="53">
        <v>66.930000000000007</v>
      </c>
      <c r="D19" s="53">
        <v>66.87</v>
      </c>
    </row>
  </sheetData>
  <mergeCells count="2">
    <mergeCell ref="B1:H1"/>
    <mergeCell ref="B2:J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A183-FD11-47FC-ACBC-FCAE71D19F3A}">
  <sheetPr>
    <tabColor rgb="FFF4F1E2"/>
  </sheetPr>
  <dimension ref="A1:F34"/>
  <sheetViews>
    <sheetView zoomScaleNormal="100" workbookViewId="0">
      <selection activeCell="G10" sqref="G10"/>
    </sheetView>
  </sheetViews>
  <sheetFormatPr defaultRowHeight="14.4" x14ac:dyDescent="0.3"/>
  <cols>
    <col min="1" max="1" width="45.5546875" style="70" customWidth="1"/>
    <col min="2" max="2" width="21.5546875" style="70" bestFit="1" customWidth="1"/>
    <col min="3" max="3" width="14" style="70" bestFit="1" customWidth="1"/>
    <col min="4" max="4" width="18.44140625" style="70" bestFit="1" customWidth="1"/>
    <col min="5" max="5" width="45.44140625" style="70" bestFit="1" customWidth="1"/>
    <col min="6" max="6" width="30.5546875" style="70" customWidth="1"/>
    <col min="7" max="7" width="45.44140625" style="70" bestFit="1" customWidth="1"/>
    <col min="8" max="8" width="18.44140625" style="70" bestFit="1" customWidth="1"/>
    <col min="9" max="16384" width="8.88671875" style="70"/>
  </cols>
  <sheetData>
    <row r="1" spans="1:6" customFormat="1" ht="22.2" x14ac:dyDescent="0.3">
      <c r="A1" s="123" t="s">
        <v>182</v>
      </c>
      <c r="B1" s="124"/>
      <c r="C1" s="124"/>
      <c r="D1" s="124"/>
      <c r="E1" s="124"/>
      <c r="F1" s="124"/>
    </row>
    <row r="2" spans="1:6" customFormat="1" ht="18.600000000000001" x14ac:dyDescent="0.45">
      <c r="A2" s="125" t="s">
        <v>183</v>
      </c>
      <c r="B2" s="126"/>
      <c r="C2" s="126"/>
      <c r="D2" s="126"/>
      <c r="E2" s="126"/>
      <c r="F2" s="126"/>
    </row>
    <row r="3" spans="1:6" ht="15" thickBot="1" x14ac:dyDescent="0.35"/>
    <row r="4" spans="1:6" ht="15.6" customHeight="1" thickBot="1" x14ac:dyDescent="0.35">
      <c r="A4" s="71" t="s">
        <v>173</v>
      </c>
      <c r="B4" s="72" t="s">
        <v>172</v>
      </c>
      <c r="C4" s="72" t="s">
        <v>171</v>
      </c>
      <c r="D4" s="73" t="s">
        <v>65</v>
      </c>
      <c r="E4" s="41" t="s">
        <v>62</v>
      </c>
      <c r="F4" s="41" t="s">
        <v>65</v>
      </c>
    </row>
    <row r="5" spans="1:6" x14ac:dyDescent="0.3">
      <c r="A5" s="74" t="s">
        <v>170</v>
      </c>
      <c r="B5" s="75">
        <v>65</v>
      </c>
      <c r="C5" s="75">
        <v>65</v>
      </c>
      <c r="D5" s="76">
        <f>F21</f>
        <v>113.6</v>
      </c>
      <c r="E5" s="42" t="s">
        <v>66</v>
      </c>
      <c r="F5" s="43">
        <v>51.7</v>
      </c>
    </row>
    <row r="6" spans="1:6" x14ac:dyDescent="0.3">
      <c r="A6" s="74" t="s">
        <v>169</v>
      </c>
      <c r="B6" s="75">
        <v>1</v>
      </c>
      <c r="C6" s="75">
        <v>1</v>
      </c>
      <c r="D6" s="76">
        <f>F22</f>
        <v>112.2</v>
      </c>
      <c r="E6" s="42" t="s">
        <v>69</v>
      </c>
      <c r="F6" s="43">
        <v>80.2</v>
      </c>
    </row>
    <row r="7" spans="1:6" x14ac:dyDescent="0.3">
      <c r="A7" s="74" t="s">
        <v>168</v>
      </c>
      <c r="B7" s="75">
        <v>341</v>
      </c>
      <c r="C7" s="75">
        <v>300</v>
      </c>
      <c r="D7" s="76">
        <f>F25</f>
        <v>106.8</v>
      </c>
      <c r="E7" s="42" t="s">
        <v>70</v>
      </c>
      <c r="F7" s="43">
        <v>106.8</v>
      </c>
    </row>
    <row r="8" spans="1:6" x14ac:dyDescent="0.3">
      <c r="A8" s="74" t="s">
        <v>167</v>
      </c>
      <c r="B8" s="75">
        <v>280</v>
      </c>
      <c r="C8" s="75">
        <v>256</v>
      </c>
      <c r="D8" s="76">
        <f>F23</f>
        <v>113.6</v>
      </c>
      <c r="E8" s="42" t="s">
        <v>73</v>
      </c>
      <c r="F8" s="43">
        <v>106.8</v>
      </c>
    </row>
    <row r="9" spans="1:6" x14ac:dyDescent="0.3">
      <c r="A9" s="74" t="s">
        <v>166</v>
      </c>
      <c r="B9" s="75">
        <v>3286</v>
      </c>
      <c r="C9" s="75">
        <v>2747</v>
      </c>
      <c r="D9" s="76">
        <f>F6</f>
        <v>80.2</v>
      </c>
      <c r="E9" s="42" t="s">
        <v>74</v>
      </c>
      <c r="F9" s="43">
        <v>106.8</v>
      </c>
    </row>
    <row r="10" spans="1:6" x14ac:dyDescent="0.3">
      <c r="A10" s="74" t="s">
        <v>165</v>
      </c>
      <c r="B10" s="75">
        <v>11</v>
      </c>
      <c r="C10" s="75">
        <v>13</v>
      </c>
      <c r="D10" s="76">
        <f>F24</f>
        <v>112.2</v>
      </c>
      <c r="E10" s="42" t="s">
        <v>75</v>
      </c>
      <c r="F10" s="43">
        <v>106.8</v>
      </c>
    </row>
    <row r="11" spans="1:6" x14ac:dyDescent="0.3">
      <c r="A11" s="74" t="s">
        <v>164</v>
      </c>
      <c r="B11" s="75">
        <v>1029</v>
      </c>
      <c r="C11" s="75">
        <v>985</v>
      </c>
      <c r="D11" s="76">
        <f>F26</f>
        <v>113.6</v>
      </c>
      <c r="E11" s="42" t="s">
        <v>76</v>
      </c>
      <c r="F11" s="43">
        <v>106.8</v>
      </c>
    </row>
    <row r="12" spans="1:6" x14ac:dyDescent="0.3">
      <c r="A12" s="74" t="s">
        <v>163</v>
      </c>
      <c r="B12" s="75">
        <v>498</v>
      </c>
      <c r="C12" s="75">
        <v>475</v>
      </c>
      <c r="D12" s="76">
        <f>F27</f>
        <v>106.8</v>
      </c>
      <c r="E12" s="42" t="s">
        <v>77</v>
      </c>
      <c r="F12" s="43">
        <v>106.8</v>
      </c>
    </row>
    <row r="13" spans="1:6" x14ac:dyDescent="0.3">
      <c r="A13" s="74" t="s">
        <v>162</v>
      </c>
      <c r="B13" s="75"/>
      <c r="C13" s="75"/>
      <c r="D13" s="76">
        <f>F28</f>
        <v>112.2</v>
      </c>
      <c r="E13" s="42" t="s">
        <v>78</v>
      </c>
      <c r="F13" s="43">
        <v>106.8</v>
      </c>
    </row>
    <row r="14" spans="1:6" x14ac:dyDescent="0.3">
      <c r="A14" s="74" t="s">
        <v>161</v>
      </c>
      <c r="B14" s="75">
        <v>215</v>
      </c>
      <c r="C14" s="75">
        <v>187</v>
      </c>
      <c r="D14" s="76">
        <f>F29</f>
        <v>117.5</v>
      </c>
      <c r="E14" s="42" t="s">
        <v>80</v>
      </c>
      <c r="F14" s="43">
        <v>106.8</v>
      </c>
    </row>
    <row r="15" spans="1:6" ht="14.4" customHeight="1" x14ac:dyDescent="0.3">
      <c r="A15" s="77" t="s">
        <v>174</v>
      </c>
      <c r="B15" s="75">
        <v>55</v>
      </c>
      <c r="C15" s="75">
        <v>56</v>
      </c>
      <c r="D15" s="78" t="s">
        <v>176</v>
      </c>
      <c r="E15" s="42" t="s">
        <v>81</v>
      </c>
      <c r="F15" s="43">
        <v>106.8</v>
      </c>
    </row>
    <row r="16" spans="1:6" x14ac:dyDescent="0.3">
      <c r="A16" s="74" t="s">
        <v>160</v>
      </c>
      <c r="B16" s="75">
        <v>10</v>
      </c>
      <c r="C16" s="75">
        <v>10</v>
      </c>
      <c r="D16" s="76">
        <f>F20</f>
        <v>181.6</v>
      </c>
      <c r="E16" s="42" t="s">
        <v>82</v>
      </c>
      <c r="F16" s="43">
        <v>117.5</v>
      </c>
    </row>
    <row r="17" spans="1:6" x14ac:dyDescent="0.3">
      <c r="A17" s="74" t="s">
        <v>159</v>
      </c>
      <c r="B17" s="75">
        <v>54</v>
      </c>
      <c r="C17" s="75">
        <v>52</v>
      </c>
      <c r="D17" s="76">
        <f>F30</f>
        <v>113.6</v>
      </c>
      <c r="E17" s="42" t="s">
        <v>83</v>
      </c>
      <c r="F17" s="43">
        <v>114.3</v>
      </c>
    </row>
    <row r="18" spans="1:6" ht="16.2" x14ac:dyDescent="0.3">
      <c r="A18" s="77" t="s">
        <v>175</v>
      </c>
      <c r="B18" s="75">
        <v>18</v>
      </c>
      <c r="C18" s="75">
        <v>6</v>
      </c>
      <c r="D18" s="78" t="s">
        <v>176</v>
      </c>
      <c r="E18" s="42" t="s">
        <v>85</v>
      </c>
      <c r="F18" s="43">
        <v>113.6</v>
      </c>
    </row>
    <row r="19" spans="1:6" x14ac:dyDescent="0.3">
      <c r="A19" s="74" t="s">
        <v>158</v>
      </c>
      <c r="B19" s="75">
        <v>24056</v>
      </c>
      <c r="C19" s="75">
        <v>21186</v>
      </c>
      <c r="D19" s="76">
        <f>F31</f>
        <v>51.7</v>
      </c>
      <c r="E19" s="42" t="s">
        <v>87</v>
      </c>
      <c r="F19" s="43">
        <v>112.2</v>
      </c>
    </row>
    <row r="20" spans="1:6" x14ac:dyDescent="0.3">
      <c r="A20" s="74" t="s">
        <v>157</v>
      </c>
      <c r="B20" s="75"/>
      <c r="C20" s="75"/>
      <c r="D20" s="76">
        <f>F14</f>
        <v>106.8</v>
      </c>
      <c r="E20" s="42" t="s">
        <v>89</v>
      </c>
      <c r="F20" s="43">
        <v>181.6</v>
      </c>
    </row>
    <row r="21" spans="1:6" x14ac:dyDescent="0.3">
      <c r="A21" s="74" t="s">
        <v>156</v>
      </c>
      <c r="B21" s="75">
        <v>3</v>
      </c>
      <c r="C21" s="75">
        <v>2</v>
      </c>
      <c r="D21" s="76">
        <f>F34</f>
        <v>112.2</v>
      </c>
      <c r="E21" s="42" t="s">
        <v>170</v>
      </c>
      <c r="F21" s="43">
        <v>113.6</v>
      </c>
    </row>
    <row r="22" spans="1:6" x14ac:dyDescent="0.3">
      <c r="A22" s="74" t="s">
        <v>155</v>
      </c>
      <c r="B22" s="75">
        <v>37</v>
      </c>
      <c r="C22" s="75">
        <v>31</v>
      </c>
      <c r="D22" s="76">
        <f>F32</f>
        <v>113.6</v>
      </c>
      <c r="E22" s="42" t="s">
        <v>169</v>
      </c>
      <c r="F22" s="43">
        <v>112.2</v>
      </c>
    </row>
    <row r="23" spans="1:6" x14ac:dyDescent="0.3">
      <c r="A23" s="74" t="s">
        <v>154</v>
      </c>
      <c r="B23" s="75">
        <v>1171</v>
      </c>
      <c r="C23" s="75">
        <v>967</v>
      </c>
      <c r="D23" s="76">
        <f>F17</f>
        <v>114.3</v>
      </c>
      <c r="E23" s="42" t="s">
        <v>167</v>
      </c>
      <c r="F23" s="43">
        <v>113.6</v>
      </c>
    </row>
    <row r="24" spans="1:6" ht="15" thickBot="1" x14ac:dyDescent="0.35">
      <c r="A24" s="74" t="s">
        <v>153</v>
      </c>
      <c r="B24" s="75">
        <v>22</v>
      </c>
      <c r="C24" s="75">
        <v>22</v>
      </c>
      <c r="D24" s="76">
        <f>F33</f>
        <v>113.6</v>
      </c>
      <c r="E24" s="42" t="s">
        <v>165</v>
      </c>
      <c r="F24" s="43">
        <v>112.2</v>
      </c>
    </row>
    <row r="25" spans="1:6" ht="15" thickBot="1" x14ac:dyDescent="0.35">
      <c r="A25" s="71" t="s">
        <v>35</v>
      </c>
      <c r="B25" s="79">
        <v>31152</v>
      </c>
      <c r="C25" s="79">
        <v>27356</v>
      </c>
      <c r="D25" s="73" cm="1">
        <f t="array" ref="D25">ROUND(SUMPRODUCT(IF(D5:D24="N/A",0,D5:D24),C5:C24)/SUM(IF(D5:D24="N/A",0,C5:C24)),2)</f>
        <v>62.08</v>
      </c>
      <c r="E25" s="42" t="s">
        <v>168</v>
      </c>
      <c r="F25" s="43">
        <v>106.8</v>
      </c>
    </row>
    <row r="26" spans="1:6" x14ac:dyDescent="0.3">
      <c r="E26" s="42" t="s">
        <v>164</v>
      </c>
      <c r="F26" s="43">
        <v>113.6</v>
      </c>
    </row>
    <row r="27" spans="1:6" ht="26.4" customHeight="1" x14ac:dyDescent="0.3">
      <c r="A27" s="121" t="s">
        <v>179</v>
      </c>
      <c r="B27" s="127"/>
      <c r="C27" s="127"/>
      <c r="D27" s="127"/>
      <c r="E27" s="42" t="s">
        <v>163</v>
      </c>
      <c r="F27" s="43">
        <v>106.8</v>
      </c>
    </row>
    <row r="28" spans="1:6" x14ac:dyDescent="0.3">
      <c r="A28" s="121" t="s">
        <v>180</v>
      </c>
      <c r="B28" s="122"/>
      <c r="C28" s="122"/>
      <c r="D28" s="122"/>
      <c r="E28" s="42" t="s">
        <v>162</v>
      </c>
      <c r="F28" s="43">
        <v>112.2</v>
      </c>
    </row>
    <row r="29" spans="1:6" x14ac:dyDescent="0.3">
      <c r="A29" s="121" t="s">
        <v>181</v>
      </c>
      <c r="B29" s="122"/>
      <c r="C29" s="122"/>
      <c r="D29" s="122"/>
      <c r="E29" s="42" t="s">
        <v>161</v>
      </c>
      <c r="F29" s="43">
        <v>117.5</v>
      </c>
    </row>
    <row r="30" spans="1:6" x14ac:dyDescent="0.3">
      <c r="E30" s="42" t="s">
        <v>159</v>
      </c>
      <c r="F30" s="43">
        <v>113.6</v>
      </c>
    </row>
    <row r="31" spans="1:6" x14ac:dyDescent="0.3">
      <c r="E31" s="42" t="s">
        <v>158</v>
      </c>
      <c r="F31" s="43">
        <v>51.7</v>
      </c>
    </row>
    <row r="32" spans="1:6" x14ac:dyDescent="0.3">
      <c r="E32" s="42" t="s">
        <v>155</v>
      </c>
      <c r="F32" s="43">
        <v>113.6</v>
      </c>
    </row>
    <row r="33" spans="5:6" x14ac:dyDescent="0.3">
      <c r="E33" s="42" t="s">
        <v>153</v>
      </c>
      <c r="F33" s="43">
        <v>113.6</v>
      </c>
    </row>
    <row r="34" spans="5:6" x14ac:dyDescent="0.3">
      <c r="E34" s="42" t="s">
        <v>156</v>
      </c>
      <c r="F34" s="43">
        <v>112.2</v>
      </c>
    </row>
  </sheetData>
  <mergeCells count="5">
    <mergeCell ref="A29:D29"/>
    <mergeCell ref="A1:F1"/>
    <mergeCell ref="A2:F2"/>
    <mergeCell ref="A27:D27"/>
    <mergeCell ref="A28:D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4F1E2"/>
  </sheetPr>
  <dimension ref="B1:E22"/>
  <sheetViews>
    <sheetView workbookViewId="0"/>
  </sheetViews>
  <sheetFormatPr defaultRowHeight="14.4" x14ac:dyDescent="0.3"/>
  <cols>
    <col min="1" max="1" width="3.6640625" customWidth="1"/>
    <col min="2" max="2" width="50" customWidth="1"/>
    <col min="3" max="3" width="24" customWidth="1"/>
    <col min="4" max="4" width="32" customWidth="1"/>
    <col min="5" max="5" width="22" customWidth="1"/>
  </cols>
  <sheetData>
    <row r="1" spans="2:5" ht="22.2" x14ac:dyDescent="0.3">
      <c r="B1" s="115" t="s">
        <v>60</v>
      </c>
      <c r="C1" s="116"/>
      <c r="D1" s="116"/>
      <c r="E1" s="116"/>
    </row>
    <row r="2" spans="2:5" ht="39.9" customHeight="1" thickBot="1" x14ac:dyDescent="0.5">
      <c r="B2" s="129" t="s">
        <v>61</v>
      </c>
      <c r="C2" s="130"/>
      <c r="D2" s="130"/>
      <c r="E2" s="130"/>
    </row>
    <row r="4" spans="2:5" ht="20.100000000000001" customHeight="1" x14ac:dyDescent="0.3">
      <c r="B4" s="41" t="s">
        <v>62</v>
      </c>
      <c r="C4" s="41" t="s">
        <v>63</v>
      </c>
      <c r="D4" s="41" t="s">
        <v>64</v>
      </c>
      <c r="E4" s="41" t="s">
        <v>65</v>
      </c>
    </row>
    <row r="5" spans="2:5" x14ac:dyDescent="0.3">
      <c r="B5" s="42" t="s">
        <v>66</v>
      </c>
      <c r="C5" s="42" t="s">
        <v>67</v>
      </c>
      <c r="D5" s="42" t="s">
        <v>68</v>
      </c>
      <c r="E5" s="43">
        <v>51.7</v>
      </c>
    </row>
    <row r="6" spans="2:5" x14ac:dyDescent="0.3">
      <c r="B6" s="42" t="s">
        <v>69</v>
      </c>
      <c r="C6" s="42" t="s">
        <v>67</v>
      </c>
      <c r="D6" s="42" t="s">
        <v>68</v>
      </c>
      <c r="E6" s="43">
        <v>80.2</v>
      </c>
    </row>
    <row r="7" spans="2:5" x14ac:dyDescent="0.3">
      <c r="B7" s="42" t="s">
        <v>70</v>
      </c>
      <c r="C7" s="42" t="s">
        <v>71</v>
      </c>
      <c r="D7" s="42" t="s">
        <v>72</v>
      </c>
      <c r="E7" s="43">
        <v>106.8</v>
      </c>
    </row>
    <row r="8" spans="2:5" x14ac:dyDescent="0.3">
      <c r="B8" s="42" t="s">
        <v>73</v>
      </c>
      <c r="C8" s="42" t="s">
        <v>71</v>
      </c>
      <c r="D8" s="42" t="s">
        <v>72</v>
      </c>
      <c r="E8" s="43">
        <v>106.8</v>
      </c>
    </row>
    <row r="9" spans="2:5" x14ac:dyDescent="0.3">
      <c r="B9" s="42" t="s">
        <v>74</v>
      </c>
      <c r="C9" s="42" t="s">
        <v>71</v>
      </c>
      <c r="D9" s="42" t="s">
        <v>72</v>
      </c>
      <c r="E9" s="43">
        <v>106.8</v>
      </c>
    </row>
    <row r="10" spans="2:5" x14ac:dyDescent="0.3">
      <c r="B10" s="42" t="s">
        <v>75</v>
      </c>
      <c r="C10" s="42" t="s">
        <v>71</v>
      </c>
      <c r="D10" s="42" t="s">
        <v>72</v>
      </c>
      <c r="E10" s="43">
        <v>106.8</v>
      </c>
    </row>
    <row r="11" spans="2:5" x14ac:dyDescent="0.3">
      <c r="B11" s="42" t="s">
        <v>76</v>
      </c>
      <c r="C11" s="42" t="s">
        <v>71</v>
      </c>
      <c r="D11" s="42" t="s">
        <v>72</v>
      </c>
      <c r="E11" s="43">
        <v>106.8</v>
      </c>
    </row>
    <row r="12" spans="2:5" x14ac:dyDescent="0.3">
      <c r="B12" s="42" t="s">
        <v>77</v>
      </c>
      <c r="C12" s="42" t="s">
        <v>71</v>
      </c>
      <c r="D12" s="42" t="s">
        <v>72</v>
      </c>
      <c r="E12" s="43">
        <v>106.8</v>
      </c>
    </row>
    <row r="13" spans="2:5" x14ac:dyDescent="0.3">
      <c r="B13" s="42" t="s">
        <v>78</v>
      </c>
      <c r="C13" s="42" t="s">
        <v>79</v>
      </c>
      <c r="D13" s="42" t="s">
        <v>72</v>
      </c>
      <c r="E13" s="43">
        <v>106.8</v>
      </c>
    </row>
    <row r="14" spans="2:5" x14ac:dyDescent="0.3">
      <c r="B14" s="42" t="s">
        <v>80</v>
      </c>
      <c r="C14" s="42" t="s">
        <v>79</v>
      </c>
      <c r="D14" s="42" t="s">
        <v>72</v>
      </c>
      <c r="E14" s="43">
        <v>106.8</v>
      </c>
    </row>
    <row r="15" spans="2:5" x14ac:dyDescent="0.3">
      <c r="B15" s="42" t="s">
        <v>81</v>
      </c>
      <c r="C15" s="42" t="s">
        <v>79</v>
      </c>
      <c r="D15" s="42" t="s">
        <v>72</v>
      </c>
      <c r="E15" s="43">
        <v>106.8</v>
      </c>
    </row>
    <row r="16" spans="2:5" x14ac:dyDescent="0.3">
      <c r="B16" s="42" t="s">
        <v>82</v>
      </c>
      <c r="C16" s="42" t="s">
        <v>71</v>
      </c>
      <c r="D16" s="42" t="s">
        <v>68</v>
      </c>
      <c r="E16" s="43">
        <v>117.5</v>
      </c>
    </row>
    <row r="17" spans="2:5" x14ac:dyDescent="0.3">
      <c r="B17" s="42" t="s">
        <v>83</v>
      </c>
      <c r="C17" s="42" t="s">
        <v>67</v>
      </c>
      <c r="D17" s="42" t="s">
        <v>84</v>
      </c>
      <c r="E17" s="43">
        <v>114.3</v>
      </c>
    </row>
    <row r="18" spans="2:5" x14ac:dyDescent="0.3">
      <c r="B18" s="42" t="s">
        <v>85</v>
      </c>
      <c r="C18" s="42" t="s">
        <v>86</v>
      </c>
      <c r="D18" s="42" t="s">
        <v>68</v>
      </c>
      <c r="E18" s="43">
        <v>113.6</v>
      </c>
    </row>
    <row r="19" spans="2:5" x14ac:dyDescent="0.3">
      <c r="B19" s="42" t="s">
        <v>87</v>
      </c>
      <c r="C19" s="42" t="s">
        <v>86</v>
      </c>
      <c r="D19" s="42" t="s">
        <v>88</v>
      </c>
      <c r="E19" s="43">
        <v>112.2</v>
      </c>
    </row>
    <row r="20" spans="2:5" x14ac:dyDescent="0.3">
      <c r="B20" s="42" t="s">
        <v>89</v>
      </c>
      <c r="C20" s="42" t="s">
        <v>79</v>
      </c>
      <c r="D20" s="42" t="s">
        <v>90</v>
      </c>
      <c r="E20" s="43">
        <v>181.6</v>
      </c>
    </row>
    <row r="22" spans="2:5" ht="29.25" customHeight="1" x14ac:dyDescent="0.3">
      <c r="B22" s="121" t="s">
        <v>91</v>
      </c>
      <c r="C22" s="128"/>
      <c r="D22" s="128"/>
      <c r="E22" s="128"/>
    </row>
  </sheetData>
  <mergeCells count="3">
    <mergeCell ref="B22:E22"/>
    <mergeCell ref="B2:E2"/>
    <mergeCell ref="B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4F1E2"/>
  </sheetPr>
  <dimension ref="B1:J29"/>
  <sheetViews>
    <sheetView zoomScale="120" zoomScaleNormal="120" workbookViewId="0">
      <selection activeCell="B1" sqref="B1:J1"/>
    </sheetView>
  </sheetViews>
  <sheetFormatPr defaultRowHeight="14.4" x14ac:dyDescent="0.3"/>
  <cols>
    <col min="1" max="1" width="3.6640625" customWidth="1"/>
    <col min="2" max="2" width="23.6640625" customWidth="1"/>
  </cols>
  <sheetData>
    <row r="1" spans="2:10" ht="22.5" customHeight="1" x14ac:dyDescent="0.3">
      <c r="B1" s="115" t="s">
        <v>177</v>
      </c>
      <c r="C1" s="116"/>
      <c r="D1" s="116"/>
      <c r="E1" s="116"/>
      <c r="F1" s="116"/>
      <c r="G1" s="116"/>
      <c r="H1" s="116"/>
      <c r="I1" s="116"/>
      <c r="J1" s="117"/>
    </row>
    <row r="2" spans="2:10" ht="20.25" customHeight="1" x14ac:dyDescent="0.3">
      <c r="B2" s="125" t="s">
        <v>178</v>
      </c>
      <c r="C2" s="126"/>
      <c r="D2" s="126"/>
      <c r="E2" s="126"/>
      <c r="F2" s="126"/>
      <c r="G2" s="126"/>
      <c r="H2" s="126"/>
      <c r="I2" s="126"/>
      <c r="J2" s="131"/>
    </row>
    <row r="3" spans="2:10" ht="20.25" customHeight="1" thickBot="1" x14ac:dyDescent="0.35">
      <c r="B3" s="129"/>
      <c r="C3" s="130"/>
      <c r="D3" s="130"/>
      <c r="E3" s="130"/>
      <c r="F3" s="130"/>
      <c r="G3" s="130"/>
      <c r="H3" s="130"/>
      <c r="I3" s="130"/>
      <c r="J3" s="132"/>
    </row>
    <row r="4" spans="2:10" ht="15" customHeight="1" x14ac:dyDescent="0.3">
      <c r="B4" s="41" t="s">
        <v>12</v>
      </c>
      <c r="C4" s="41" t="s">
        <v>53</v>
      </c>
    </row>
    <row r="5" spans="2:10" ht="15.75" customHeight="1" x14ac:dyDescent="0.3">
      <c r="B5" s="41">
        <v>2026</v>
      </c>
      <c r="C5" s="53">
        <v>62.32</v>
      </c>
    </row>
    <row r="6" spans="2:10" x14ac:dyDescent="0.3">
      <c r="B6" s="41">
        <v>2027</v>
      </c>
      <c r="C6" s="53">
        <v>61.25</v>
      </c>
    </row>
    <row r="7" spans="2:10" x14ac:dyDescent="0.3">
      <c r="B7" s="41">
        <v>2028</v>
      </c>
      <c r="C7" s="53">
        <v>60.47</v>
      </c>
    </row>
    <row r="8" spans="2:10" x14ac:dyDescent="0.3">
      <c r="B8" s="41">
        <v>2029</v>
      </c>
      <c r="C8" s="53">
        <v>58.89</v>
      </c>
    </row>
    <row r="9" spans="2:10" x14ac:dyDescent="0.3">
      <c r="B9" s="41">
        <v>2030</v>
      </c>
      <c r="C9" s="53">
        <v>48.88</v>
      </c>
    </row>
    <row r="10" spans="2:10" x14ac:dyDescent="0.3">
      <c r="B10" s="41">
        <v>2031</v>
      </c>
      <c r="C10" s="53">
        <v>34.54</v>
      </c>
    </row>
    <row r="11" spans="2:10" x14ac:dyDescent="0.3">
      <c r="B11" s="41">
        <v>2032</v>
      </c>
      <c r="C11" s="53">
        <v>24.38</v>
      </c>
    </row>
    <row r="12" spans="2:10" x14ac:dyDescent="0.3">
      <c r="B12" s="41">
        <v>2033</v>
      </c>
      <c r="C12" s="53">
        <v>22.7</v>
      </c>
    </row>
    <row r="13" spans="2:10" x14ac:dyDescent="0.3">
      <c r="B13" s="41">
        <v>2034</v>
      </c>
      <c r="C13" s="53">
        <v>22.38</v>
      </c>
    </row>
    <row r="14" spans="2:10" x14ac:dyDescent="0.3">
      <c r="B14" s="41">
        <v>2035</v>
      </c>
      <c r="C14" s="53">
        <v>19.850000000000001</v>
      </c>
    </row>
    <row r="15" spans="2:10" x14ac:dyDescent="0.3">
      <c r="B15" s="41">
        <v>2036</v>
      </c>
      <c r="C15" s="53">
        <v>18.510000000000002</v>
      </c>
    </row>
    <row r="16" spans="2:10" x14ac:dyDescent="0.3">
      <c r="B16" s="41">
        <v>2037</v>
      </c>
      <c r="C16" s="53">
        <v>16.760000000000002</v>
      </c>
    </row>
    <row r="17" spans="2:6" x14ac:dyDescent="0.3">
      <c r="B17" s="41">
        <v>2038</v>
      </c>
      <c r="C17" s="53">
        <v>16.89</v>
      </c>
    </row>
    <row r="18" spans="2:6" x14ac:dyDescent="0.3">
      <c r="B18" s="41">
        <v>2039</v>
      </c>
      <c r="C18" s="53">
        <v>17.18</v>
      </c>
    </row>
    <row r="19" spans="2:6" ht="28.8" x14ac:dyDescent="0.3">
      <c r="B19" s="52" t="s">
        <v>52</v>
      </c>
      <c r="C19" s="53">
        <v>14.44</v>
      </c>
    </row>
    <row r="21" spans="2:6" x14ac:dyDescent="0.3">
      <c r="B21" s="57" t="s">
        <v>54</v>
      </c>
    </row>
    <row r="22" spans="2:6" x14ac:dyDescent="0.3">
      <c r="B22" s="57" t="s">
        <v>55</v>
      </c>
    </row>
    <row r="23" spans="2:6" x14ac:dyDescent="0.3">
      <c r="B23" s="58" t="s">
        <v>56</v>
      </c>
    </row>
    <row r="25" spans="2:6" x14ac:dyDescent="0.3">
      <c r="B25" s="57" t="s">
        <v>57</v>
      </c>
    </row>
    <row r="26" spans="2:6" x14ac:dyDescent="0.3">
      <c r="B26" s="57" t="s">
        <v>58</v>
      </c>
    </row>
    <row r="27" spans="2:6" x14ac:dyDescent="0.3">
      <c r="B27" s="58" t="s">
        <v>59</v>
      </c>
    </row>
    <row r="29" spans="2:6" x14ac:dyDescent="0.3">
      <c r="F29" s="46"/>
    </row>
  </sheetData>
  <mergeCells count="2">
    <mergeCell ref="B2:J3"/>
    <mergeCell ref="B1:J1"/>
  </mergeCells>
  <hyperlinks>
    <hyperlink ref="B23" r:id="rId1" location="page=32" xr:uid="{78437748-8B3B-4325-92B4-3A89BCCEC621}"/>
    <hyperlink ref="B27" r:id="rId2" location="page=379" xr:uid="{2292C184-A1DF-47B5-B26C-1EAEB129484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F1E2"/>
  </sheetPr>
  <dimension ref="B1:R34"/>
  <sheetViews>
    <sheetView zoomScale="120" zoomScaleNormal="120" workbookViewId="0">
      <selection activeCell="N26" sqref="N26"/>
    </sheetView>
  </sheetViews>
  <sheetFormatPr defaultRowHeight="14.4" x14ac:dyDescent="0.3"/>
  <cols>
    <col min="1" max="1" width="3.6640625" customWidth="1"/>
    <col min="2" max="2" width="23.6640625" customWidth="1"/>
    <col min="3" max="3" width="9.5546875" bestFit="1" customWidth="1"/>
    <col min="4" max="5" width="9.44140625" bestFit="1" customWidth="1"/>
    <col min="6" max="8" width="9.33203125" bestFit="1" customWidth="1"/>
    <col min="9" max="16" width="8.33203125" bestFit="1" customWidth="1"/>
    <col min="17" max="17" width="24.44140625" bestFit="1" customWidth="1"/>
  </cols>
  <sheetData>
    <row r="1" spans="2:17" ht="22.5" customHeight="1" x14ac:dyDescent="0.3">
      <c r="B1" s="123" t="s">
        <v>92</v>
      </c>
      <c r="C1" s="124"/>
      <c r="D1" s="124"/>
      <c r="E1" s="124"/>
      <c r="F1" s="124"/>
      <c r="G1" s="124"/>
      <c r="H1" s="124"/>
      <c r="I1" s="124"/>
      <c r="J1" s="124"/>
      <c r="K1" s="124"/>
      <c r="L1" s="124"/>
      <c r="M1" s="124"/>
      <c r="N1" s="124"/>
      <c r="O1" s="124"/>
      <c r="P1" s="124"/>
      <c r="Q1" s="124"/>
    </row>
    <row r="2" spans="2:17" ht="19.5" customHeight="1" x14ac:dyDescent="0.45">
      <c r="B2" s="133" t="s">
        <v>93</v>
      </c>
      <c r="C2" s="134"/>
      <c r="D2" s="134"/>
      <c r="E2" s="134"/>
      <c r="F2" s="134"/>
      <c r="G2" s="134"/>
      <c r="H2" s="134"/>
      <c r="I2" s="134"/>
      <c r="J2" s="134"/>
      <c r="K2" s="134"/>
      <c r="L2" s="134"/>
      <c r="M2" s="134"/>
      <c r="N2" s="134"/>
      <c r="O2" s="134"/>
      <c r="P2" s="134"/>
      <c r="Q2" s="134"/>
    </row>
    <row r="3" spans="2:17" ht="8.4" customHeight="1" x14ac:dyDescent="0.3">
      <c r="I3" s="6"/>
      <c r="J3" s="7"/>
    </row>
    <row r="5" spans="2:17" x14ac:dyDescent="0.3">
      <c r="B5" s="41" t="s">
        <v>94</v>
      </c>
      <c r="C5" s="41">
        <v>2026</v>
      </c>
      <c r="D5" s="41">
        <f>C5+1</f>
        <v>2027</v>
      </c>
      <c r="E5" s="41">
        <f t="shared" ref="E5:M5" si="0">D5+1</f>
        <v>2028</v>
      </c>
      <c r="F5" s="41">
        <f t="shared" si="0"/>
        <v>2029</v>
      </c>
      <c r="G5" s="41">
        <f t="shared" si="0"/>
        <v>2030</v>
      </c>
      <c r="H5" s="41">
        <f t="shared" si="0"/>
        <v>2031</v>
      </c>
      <c r="I5" s="41">
        <f t="shared" si="0"/>
        <v>2032</v>
      </c>
      <c r="J5" s="41">
        <f t="shared" si="0"/>
        <v>2033</v>
      </c>
      <c r="K5" s="41">
        <f t="shared" si="0"/>
        <v>2034</v>
      </c>
      <c r="L5" s="41">
        <f t="shared" si="0"/>
        <v>2035</v>
      </c>
      <c r="M5" s="41">
        <f t="shared" si="0"/>
        <v>2036</v>
      </c>
      <c r="N5" s="41">
        <v>2037</v>
      </c>
      <c r="O5" s="41">
        <v>2038</v>
      </c>
      <c r="P5" s="41">
        <v>2039</v>
      </c>
      <c r="Q5" s="41" t="s">
        <v>52</v>
      </c>
    </row>
    <row r="6" spans="2:17" x14ac:dyDescent="0.3">
      <c r="B6" s="42" t="s">
        <v>95</v>
      </c>
      <c r="C6" s="51">
        <v>113.47</v>
      </c>
      <c r="D6" s="51">
        <v>98.43</v>
      </c>
      <c r="E6" s="51">
        <v>95.17</v>
      </c>
      <c r="F6" s="51">
        <v>83.96</v>
      </c>
      <c r="G6" s="51">
        <v>73.489999999999995</v>
      </c>
      <c r="H6" s="51">
        <v>64.42</v>
      </c>
      <c r="I6" s="51">
        <v>51.63</v>
      </c>
      <c r="J6" s="51">
        <v>42.06</v>
      </c>
      <c r="K6" s="51">
        <v>42.15</v>
      </c>
      <c r="L6" s="51">
        <v>42.39</v>
      </c>
      <c r="M6" s="51">
        <v>0</v>
      </c>
      <c r="N6" s="51">
        <v>0</v>
      </c>
      <c r="O6" s="51">
        <v>0</v>
      </c>
      <c r="P6" s="51">
        <v>0</v>
      </c>
      <c r="Q6" s="51">
        <v>0</v>
      </c>
    </row>
    <row r="7" spans="2:17" x14ac:dyDescent="0.3">
      <c r="B7" s="42" t="s">
        <v>31</v>
      </c>
      <c r="C7" s="51">
        <v>91.27</v>
      </c>
      <c r="D7" s="51">
        <v>69.12</v>
      </c>
      <c r="E7" s="51">
        <v>65.31</v>
      </c>
      <c r="F7" s="51">
        <v>47.92</v>
      </c>
      <c r="G7" s="51">
        <v>122.85</v>
      </c>
      <c r="H7" s="51">
        <v>106.1</v>
      </c>
      <c r="I7" s="51">
        <v>89.08</v>
      </c>
      <c r="J7" s="51">
        <v>73.540000000000006</v>
      </c>
      <c r="K7" s="51">
        <v>75.239999999999995</v>
      </c>
      <c r="L7" s="51">
        <v>77.25</v>
      </c>
      <c r="M7" s="51">
        <v>78.930000000000007</v>
      </c>
      <c r="N7" s="51">
        <v>80.900000000000006</v>
      </c>
      <c r="O7" s="51">
        <v>82.85</v>
      </c>
      <c r="P7" s="51">
        <v>84.72</v>
      </c>
      <c r="Q7" s="51">
        <v>86.64</v>
      </c>
    </row>
    <row r="8" spans="2:17" x14ac:dyDescent="0.3">
      <c r="C8" s="2"/>
      <c r="D8" s="2"/>
      <c r="E8" s="2"/>
      <c r="F8" s="2"/>
      <c r="G8" s="2"/>
      <c r="H8" s="2"/>
      <c r="I8" s="2"/>
      <c r="J8" s="2"/>
      <c r="K8" s="2"/>
      <c r="L8" s="2"/>
      <c r="M8" s="2"/>
    </row>
    <row r="9" spans="2:17" x14ac:dyDescent="0.3">
      <c r="B9" s="57" t="s">
        <v>96</v>
      </c>
    </row>
    <row r="10" spans="2:17" x14ac:dyDescent="0.3">
      <c r="B10" s="60" t="s">
        <v>97</v>
      </c>
    </row>
    <row r="11" spans="2:17" x14ac:dyDescent="0.3">
      <c r="B11" s="46"/>
    </row>
    <row r="12" spans="2:17" x14ac:dyDescent="0.3">
      <c r="B12" s="57" t="s">
        <v>98</v>
      </c>
    </row>
    <row r="13" spans="2:17" x14ac:dyDescent="0.3">
      <c r="B13" s="59" t="s">
        <v>99</v>
      </c>
      <c r="C13" s="61"/>
      <c r="D13" s="61"/>
      <c r="E13" s="61"/>
      <c r="F13" s="61"/>
      <c r="G13" s="61"/>
      <c r="H13" s="61"/>
      <c r="I13" s="61"/>
      <c r="J13" s="61"/>
      <c r="K13" s="61"/>
      <c r="L13" s="61"/>
      <c r="M13" s="61"/>
      <c r="N13" s="61"/>
      <c r="O13" s="61"/>
    </row>
    <row r="14" spans="2:17" x14ac:dyDescent="0.3">
      <c r="B14" s="45"/>
    </row>
    <row r="15" spans="2:17" x14ac:dyDescent="0.3">
      <c r="B15" s="57" t="s">
        <v>100</v>
      </c>
    </row>
    <row r="16" spans="2:17" x14ac:dyDescent="0.3">
      <c r="B16" s="57" t="s">
        <v>101</v>
      </c>
    </row>
    <row r="17" spans="2:18" s="58" customFormat="1" ht="12" x14ac:dyDescent="0.25">
      <c r="B17" s="58" t="s">
        <v>102</v>
      </c>
    </row>
    <row r="18" spans="2:18" x14ac:dyDescent="0.3">
      <c r="B18" s="45"/>
    </row>
    <row r="19" spans="2:18" s="1" customFormat="1" x14ac:dyDescent="0.3">
      <c r="B19" s="41" t="s">
        <v>12</v>
      </c>
      <c r="C19" s="52" t="s">
        <v>103</v>
      </c>
      <c r="D19" s="52" t="s">
        <v>104</v>
      </c>
      <c r="E19" s="52" t="s">
        <v>105</v>
      </c>
      <c r="F19" s="52" t="s">
        <v>106</v>
      </c>
      <c r="R19"/>
    </row>
    <row r="20" spans="2:18" x14ac:dyDescent="0.3">
      <c r="B20" s="41">
        <v>2026</v>
      </c>
      <c r="C20" s="51">
        <v>111.93</v>
      </c>
      <c r="D20" s="51">
        <v>87.558206868083431</v>
      </c>
      <c r="E20" s="51">
        <v>119.59240912283974</v>
      </c>
      <c r="F20" s="51">
        <v>91.274264725771729</v>
      </c>
    </row>
    <row r="21" spans="2:18" x14ac:dyDescent="0.3">
      <c r="B21" s="41">
        <f t="shared" ref="B21:B30" si="1">B20+1</f>
        <v>2027</v>
      </c>
      <c r="C21" s="51">
        <v>96.92</v>
      </c>
      <c r="D21" s="51">
        <v>64.946656551593179</v>
      </c>
      <c r="E21" s="51">
        <v>105.72900228603821</v>
      </c>
      <c r="F21" s="51">
        <v>69.124821811947612</v>
      </c>
    </row>
    <row r="22" spans="2:18" x14ac:dyDescent="0.3">
      <c r="B22" s="41">
        <f t="shared" si="1"/>
        <v>2028</v>
      </c>
      <c r="C22" s="51">
        <v>93.7</v>
      </c>
      <c r="D22" s="51">
        <v>60.104488491157525</v>
      </c>
      <c r="E22" s="51">
        <v>104.36906817926082</v>
      </c>
      <c r="F22" s="51">
        <v>65.314540200815017</v>
      </c>
    </row>
    <row r="23" spans="2:18" x14ac:dyDescent="0.3">
      <c r="B23" s="41">
        <f t="shared" si="1"/>
        <v>2029</v>
      </c>
      <c r="C23" s="51">
        <v>82.47</v>
      </c>
      <c r="D23" s="51">
        <v>43.187236229572612</v>
      </c>
      <c r="E23" s="51">
        <v>93.789720779595498</v>
      </c>
      <c r="F23" s="51">
        <v>47.916393487262823</v>
      </c>
    </row>
    <row r="24" spans="2:18" x14ac:dyDescent="0.3">
      <c r="B24" s="41">
        <f t="shared" si="1"/>
        <v>2030</v>
      </c>
      <c r="C24" s="51">
        <v>71.989999999999995</v>
      </c>
      <c r="D24" s="51">
        <v>108.44477468317319</v>
      </c>
      <c r="E24" s="51">
        <v>83.58585308558888</v>
      </c>
      <c r="F24" s="51">
        <v>122.84658364236968</v>
      </c>
    </row>
    <row r="25" spans="2:18" x14ac:dyDescent="0.3">
      <c r="B25" s="41">
        <f t="shared" si="1"/>
        <v>2031</v>
      </c>
      <c r="C25" s="51">
        <v>60.9</v>
      </c>
      <c r="D25" s="51">
        <v>91.734693976613258</v>
      </c>
      <c r="E25" s="51">
        <v>72.191074693805305</v>
      </c>
      <c r="F25" s="51">
        <v>106.0996157630187</v>
      </c>
    </row>
    <row r="26" spans="2:18" x14ac:dyDescent="0.3">
      <c r="B26" s="41">
        <f t="shared" si="1"/>
        <v>2032</v>
      </c>
      <c r="C26" s="51">
        <v>50.08</v>
      </c>
      <c r="D26" s="51">
        <v>75.434712673618023</v>
      </c>
      <c r="E26" s="51">
        <v>60.610361343376205</v>
      </c>
      <c r="F26" s="51">
        <v>89.07937826200218</v>
      </c>
    </row>
    <row r="27" spans="2:18" x14ac:dyDescent="0.3">
      <c r="B27" s="41">
        <f t="shared" si="1"/>
        <v>2033</v>
      </c>
      <c r="C27" s="51">
        <v>40.49</v>
      </c>
      <c r="D27" s="51">
        <v>60.994743575284005</v>
      </c>
      <c r="E27" s="51">
        <v>50.037290483054427</v>
      </c>
      <c r="F27" s="51">
        <v>73.540078418172996</v>
      </c>
    </row>
    <row r="28" spans="2:18" x14ac:dyDescent="0.3">
      <c r="B28" s="41">
        <f t="shared" si="1"/>
        <v>2034</v>
      </c>
      <c r="C28" s="51">
        <v>40.57</v>
      </c>
      <c r="D28" s="51">
        <v>61.119234589546046</v>
      </c>
      <c r="E28" s="51">
        <v>51.192344963390795</v>
      </c>
      <c r="F28" s="51">
        <v>75.237668280477095</v>
      </c>
    </row>
    <row r="29" spans="2:18" x14ac:dyDescent="0.3">
      <c r="B29" s="41">
        <f t="shared" si="1"/>
        <v>2035</v>
      </c>
      <c r="C29" s="51">
        <v>40.799999999999997</v>
      </c>
      <c r="D29" s="51">
        <v>61.460406302642888</v>
      </c>
      <c r="E29" s="51">
        <v>52.559144291480365</v>
      </c>
      <c r="F29" s="51">
        <v>77.246460699076451</v>
      </c>
    </row>
    <row r="30" spans="2:18" x14ac:dyDescent="0.3">
      <c r="B30" s="41">
        <f t="shared" si="1"/>
        <v>2036</v>
      </c>
      <c r="C30" s="51">
        <v>0</v>
      </c>
      <c r="D30" s="51">
        <v>61.510511432712718</v>
      </c>
      <c r="E30" s="51">
        <v>0</v>
      </c>
      <c r="F30" s="51">
        <v>78.932933431353405</v>
      </c>
    </row>
    <row r="31" spans="2:18" x14ac:dyDescent="0.3">
      <c r="B31" s="41">
        <v>2037</v>
      </c>
      <c r="C31" s="51">
        <v>0</v>
      </c>
      <c r="D31" s="51">
        <v>61.746143218420784</v>
      </c>
      <c r="E31" s="51">
        <v>0</v>
      </c>
      <c r="F31" s="51">
        <v>80.899247703447585</v>
      </c>
    </row>
    <row r="32" spans="2:18" x14ac:dyDescent="0.3">
      <c r="B32" s="41">
        <v>2038</v>
      </c>
      <c r="C32" s="51">
        <v>0</v>
      </c>
      <c r="D32" s="51">
        <v>61.932817160550684</v>
      </c>
      <c r="E32" s="51">
        <v>0</v>
      </c>
      <c r="F32" s="51">
        <v>82.847846593322373</v>
      </c>
    </row>
    <row r="33" spans="2:6" x14ac:dyDescent="0.3">
      <c r="B33" s="41">
        <v>2039</v>
      </c>
      <c r="C33" s="51">
        <v>0</v>
      </c>
      <c r="D33" s="51">
        <v>62.02877203079278</v>
      </c>
      <c r="E33" s="51">
        <v>0</v>
      </c>
      <c r="F33" s="51">
        <v>84.718706238710297</v>
      </c>
    </row>
    <row r="34" spans="2:6" ht="28.8" x14ac:dyDescent="0.3">
      <c r="B34" s="52" t="s">
        <v>52</v>
      </c>
      <c r="C34" s="51">
        <v>0</v>
      </c>
      <c r="D34" s="51">
        <v>62.129889690249087</v>
      </c>
      <c r="E34" s="51">
        <v>0</v>
      </c>
      <c r="F34" s="51">
        <v>86.638805488256054</v>
      </c>
    </row>
  </sheetData>
  <mergeCells count="2">
    <mergeCell ref="B1:Q1"/>
    <mergeCell ref="B2:Q2"/>
  </mergeCells>
  <hyperlinks>
    <hyperlink ref="B10" r:id="rId1" location="page=461" display="https://cloud.env.nm.gov/resources/_translator.php/NzA3NTEwYzYzY2I0NzNhN2JmNDc3NGQ1NV8yMDMxMTU~.pdf#page=461" xr:uid="{FC633A7E-72F9-46A1-911F-4900B2302B51}"/>
    <hyperlink ref="B13" r:id="rId2" location="page=111" display="https://www.env.nm.gov/opf/wp-content/uploads/sites/13/2025/11/NMED-R135-137.pdf#page=111" xr:uid="{C35D097C-2212-4940-8416-DC254631362E}"/>
    <hyperlink ref="B17" r:id="rId3" xr:uid="{06971F5E-AD6F-4DAF-8E19-0077ABCAA66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F1E2"/>
  </sheetPr>
  <dimension ref="B1:R19"/>
  <sheetViews>
    <sheetView topLeftCell="C1" zoomScale="120" zoomScaleNormal="120" workbookViewId="0">
      <selection activeCell="R12" sqref="R12"/>
    </sheetView>
  </sheetViews>
  <sheetFormatPr defaultRowHeight="14.4" x14ac:dyDescent="0.3"/>
  <cols>
    <col min="1" max="1" width="3.6640625" customWidth="1"/>
    <col min="2" max="2" width="38.109375" customWidth="1"/>
    <col min="7" max="8" width="10.6640625" customWidth="1"/>
    <col min="15" max="15" width="11.109375" customWidth="1"/>
    <col min="16" max="16" width="11.6640625" customWidth="1"/>
    <col min="18" max="18" width="10" bestFit="1" customWidth="1"/>
  </cols>
  <sheetData>
    <row r="1" spans="2:18" ht="22.5" customHeight="1" x14ac:dyDescent="0.3">
      <c r="B1" s="123" t="s">
        <v>107</v>
      </c>
      <c r="C1" s="127"/>
      <c r="D1" s="127"/>
      <c r="E1" s="127"/>
      <c r="F1" s="127"/>
      <c r="G1" s="127"/>
      <c r="H1" s="127"/>
      <c r="I1" s="127"/>
      <c r="J1" s="127"/>
      <c r="K1" s="127"/>
      <c r="L1" s="127"/>
      <c r="M1" s="127"/>
      <c r="N1" s="127"/>
      <c r="O1" s="127"/>
      <c r="P1" s="127"/>
    </row>
    <row r="2" spans="2:18" ht="19.5" customHeight="1" x14ac:dyDescent="0.45">
      <c r="B2" s="133" t="s">
        <v>108</v>
      </c>
      <c r="C2" s="127"/>
      <c r="D2" s="127"/>
      <c r="E2" s="127"/>
      <c r="F2" s="127"/>
      <c r="G2" s="127"/>
      <c r="H2" s="127"/>
      <c r="I2" s="127"/>
      <c r="J2" s="127"/>
      <c r="K2" s="127"/>
      <c r="L2" s="127"/>
      <c r="M2" s="127"/>
      <c r="N2" s="127"/>
      <c r="O2" s="127"/>
      <c r="P2" s="127"/>
    </row>
    <row r="3" spans="2:18" ht="8.4" customHeight="1" x14ac:dyDescent="0.3">
      <c r="I3" s="6"/>
      <c r="J3" s="7"/>
    </row>
    <row r="4" spans="2:18" x14ac:dyDescent="0.3">
      <c r="B4" s="41" t="s">
        <v>109</v>
      </c>
      <c r="C4" s="41">
        <v>2025</v>
      </c>
      <c r="D4" s="41">
        <v>2026</v>
      </c>
      <c r="E4" s="41">
        <v>2027</v>
      </c>
      <c r="F4" s="41">
        <v>2028</v>
      </c>
      <c r="G4" s="41">
        <v>2029</v>
      </c>
      <c r="H4" s="41">
        <v>2030</v>
      </c>
      <c r="I4" s="41">
        <v>2031</v>
      </c>
      <c r="J4" s="41">
        <f>I4+1</f>
        <v>2032</v>
      </c>
      <c r="K4" s="41">
        <f>J4+1</f>
        <v>2033</v>
      </c>
      <c r="L4" s="41">
        <f>K4+1</f>
        <v>2034</v>
      </c>
      <c r="M4" s="41">
        <f>L4+1</f>
        <v>2035</v>
      </c>
      <c r="N4" s="41">
        <f>M4+1</f>
        <v>2036</v>
      </c>
      <c r="O4" s="136" t="s">
        <v>236</v>
      </c>
      <c r="P4" s="4"/>
      <c r="Q4" s="4"/>
    </row>
    <row r="5" spans="2:18" x14ac:dyDescent="0.3">
      <c r="B5" s="42" t="s">
        <v>110</v>
      </c>
      <c r="C5" s="42">
        <v>2.6</v>
      </c>
      <c r="D5" s="42">
        <v>2.7</v>
      </c>
      <c r="E5" s="43">
        <v>2.4</v>
      </c>
      <c r="F5" s="42">
        <v>2.2000000000000002</v>
      </c>
      <c r="G5" s="42">
        <v>2.1</v>
      </c>
      <c r="H5" s="42">
        <f>$O5</f>
        <v>2</v>
      </c>
      <c r="I5" s="43">
        <f>$O5</f>
        <v>2</v>
      </c>
      <c r="J5" s="42">
        <f>$O5</f>
        <v>2</v>
      </c>
      <c r="K5" s="42">
        <f>$O5</f>
        <v>2</v>
      </c>
      <c r="L5" s="42">
        <f>$O5</f>
        <v>2</v>
      </c>
      <c r="M5" s="43">
        <f>$O5</f>
        <v>2</v>
      </c>
      <c r="N5" s="42">
        <f>$O5</f>
        <v>2</v>
      </c>
      <c r="O5" s="135">
        <v>2</v>
      </c>
      <c r="P5" s="4"/>
      <c r="Q5" s="4"/>
    </row>
    <row r="6" spans="2:18" x14ac:dyDescent="0.3">
      <c r="B6" s="42" t="s">
        <v>111</v>
      </c>
      <c r="C6" s="42">
        <v>2.8</v>
      </c>
      <c r="D6" s="42">
        <v>2.9</v>
      </c>
      <c r="E6" s="43">
        <v>2.4</v>
      </c>
      <c r="F6" s="42">
        <v>2.2000000000000002</v>
      </c>
      <c r="G6" s="42">
        <v>2.1</v>
      </c>
      <c r="H6" s="42">
        <f>$O6</f>
        <v>2</v>
      </c>
      <c r="I6" s="43">
        <f>$O6</f>
        <v>2</v>
      </c>
      <c r="J6" s="42">
        <f>$O6</f>
        <v>2</v>
      </c>
      <c r="K6" s="42">
        <f>$O6</f>
        <v>2</v>
      </c>
      <c r="L6" s="42">
        <f>$O6</f>
        <v>2</v>
      </c>
      <c r="M6" s="43">
        <f>$O6</f>
        <v>2</v>
      </c>
      <c r="N6" s="42">
        <f>$O6</f>
        <v>2</v>
      </c>
      <c r="O6" s="135">
        <v>2</v>
      </c>
      <c r="P6" s="5"/>
      <c r="Q6" s="5"/>
    </row>
    <row r="7" spans="2:18" x14ac:dyDescent="0.3">
      <c r="B7" s="42" t="s">
        <v>112</v>
      </c>
      <c r="C7" s="42">
        <v>2.8</v>
      </c>
      <c r="D7" s="42">
        <v>2.9</v>
      </c>
      <c r="E7" s="43">
        <v>2.5</v>
      </c>
      <c r="F7" s="42">
        <v>2.4</v>
      </c>
      <c r="G7" s="42">
        <v>2.2999999999999998</v>
      </c>
      <c r="H7" s="42">
        <f>$O7</f>
        <v>2.2999999999999998</v>
      </c>
      <c r="I7" s="43">
        <f>$O7</f>
        <v>2.2999999999999998</v>
      </c>
      <c r="J7" s="42">
        <f>$O7</f>
        <v>2.2999999999999998</v>
      </c>
      <c r="K7" s="42">
        <f>$O7</f>
        <v>2.2999999999999998</v>
      </c>
      <c r="L7" s="42">
        <f>$O7</f>
        <v>2.2999999999999998</v>
      </c>
      <c r="M7" s="43">
        <f>$O7</f>
        <v>2.2999999999999998</v>
      </c>
      <c r="N7" s="42">
        <f>$O7</f>
        <v>2.2999999999999998</v>
      </c>
      <c r="O7" s="135">
        <v>2.2999999999999998</v>
      </c>
      <c r="P7" s="5"/>
      <c r="Q7" s="5"/>
    </row>
    <row r="8" spans="2:18" x14ac:dyDescent="0.3">
      <c r="B8" s="42" t="s">
        <v>113</v>
      </c>
      <c r="C8" s="42">
        <v>3</v>
      </c>
      <c r="D8" s="42">
        <v>3.1</v>
      </c>
      <c r="E8" s="43">
        <v>2.6</v>
      </c>
      <c r="F8" s="42">
        <v>2.4</v>
      </c>
      <c r="G8" s="42">
        <v>2.2999999999999998</v>
      </c>
      <c r="H8" s="42">
        <f>$O8</f>
        <v>2.2999999999999998</v>
      </c>
      <c r="I8" s="43">
        <f>$O8</f>
        <v>2.2999999999999998</v>
      </c>
      <c r="J8" s="42">
        <f>$O8</f>
        <v>2.2999999999999998</v>
      </c>
      <c r="K8" s="42">
        <f>$O8</f>
        <v>2.2999999999999998</v>
      </c>
      <c r="L8" s="42">
        <f>$O8</f>
        <v>2.2999999999999998</v>
      </c>
      <c r="M8" s="43">
        <f>$O8</f>
        <v>2.2999999999999998</v>
      </c>
      <c r="N8" s="42">
        <f>$O8</f>
        <v>2.2999999999999998</v>
      </c>
      <c r="O8" s="135">
        <v>2.2999999999999998</v>
      </c>
      <c r="P8" s="3"/>
      <c r="Q8" s="3"/>
    </row>
    <row r="9" spans="2:18" x14ac:dyDescent="0.3">
      <c r="B9" s="42" t="s">
        <v>34</v>
      </c>
      <c r="C9" s="42">
        <v>2.7</v>
      </c>
      <c r="D9" s="42">
        <v>2.7</v>
      </c>
      <c r="E9" s="43">
        <v>2.4</v>
      </c>
      <c r="F9" s="42">
        <v>2.2000000000000002</v>
      </c>
      <c r="G9" s="42">
        <v>2.1</v>
      </c>
      <c r="H9" s="42">
        <f>$O9</f>
        <v>2</v>
      </c>
      <c r="I9" s="43">
        <f>$O9</f>
        <v>2</v>
      </c>
      <c r="J9" s="42">
        <f>$O9</f>
        <v>2</v>
      </c>
      <c r="K9" s="42">
        <f>$O9</f>
        <v>2</v>
      </c>
      <c r="L9" s="42">
        <f>$O9</f>
        <v>2</v>
      </c>
      <c r="M9" s="43">
        <f>$O9</f>
        <v>2</v>
      </c>
      <c r="N9" s="42">
        <f>$O9</f>
        <v>2</v>
      </c>
      <c r="O9" s="135">
        <v>2</v>
      </c>
      <c r="P9" s="3"/>
      <c r="Q9" s="3"/>
    </row>
    <row r="10" spans="2:18" x14ac:dyDescent="0.3">
      <c r="Q10" s="3"/>
    </row>
    <row r="11" spans="2:18" x14ac:dyDescent="0.3">
      <c r="B11" s="41" t="s">
        <v>114</v>
      </c>
      <c r="C11" s="41">
        <v>2025</v>
      </c>
      <c r="D11" s="41">
        <v>2026</v>
      </c>
      <c r="E11" s="41">
        <v>2027</v>
      </c>
      <c r="F11" s="41">
        <v>2028</v>
      </c>
      <c r="G11" s="41">
        <v>2029</v>
      </c>
      <c r="H11" s="41">
        <v>2030</v>
      </c>
      <c r="I11" s="41">
        <v>2031</v>
      </c>
      <c r="J11" s="41">
        <f>I11+1</f>
        <v>2032</v>
      </c>
      <c r="K11" s="41">
        <f>J11+1</f>
        <v>2033</v>
      </c>
      <c r="L11" s="41">
        <f>K11+1</f>
        <v>2034</v>
      </c>
      <c r="M11" s="41">
        <f>L11+1</f>
        <v>2035</v>
      </c>
      <c r="N11" s="41">
        <f>M11+1</f>
        <v>2036</v>
      </c>
      <c r="O11" s="41">
        <f>N11+1</f>
        <v>2037</v>
      </c>
      <c r="P11" s="41">
        <f t="shared" ref="P11:R11" si="0">O11+1</f>
        <v>2038</v>
      </c>
      <c r="Q11" s="41">
        <f t="shared" si="0"/>
        <v>2039</v>
      </c>
      <c r="R11" s="41" t="s">
        <v>52</v>
      </c>
    </row>
    <row r="12" spans="2:18" x14ac:dyDescent="0.3">
      <c r="B12" s="42" t="s">
        <v>110</v>
      </c>
      <c r="C12" s="49">
        <f>1+C5/100</f>
        <v>1.026</v>
      </c>
      <c r="D12" s="49">
        <f t="shared" ref="D12:O12" si="1">(1+D5/100)*C12</f>
        <v>1.0537019999999999</v>
      </c>
      <c r="E12" s="50">
        <f t="shared" si="1"/>
        <v>1.0789908479999999</v>
      </c>
      <c r="F12" s="49">
        <f t="shared" si="1"/>
        <v>1.102728646656</v>
      </c>
      <c r="G12" s="49">
        <f t="shared" si="1"/>
        <v>1.1258859482357759</v>
      </c>
      <c r="H12" s="49">
        <f t="shared" si="1"/>
        <v>1.1484036672004914</v>
      </c>
      <c r="I12" s="50">
        <f t="shared" si="1"/>
        <v>1.1713717405445012</v>
      </c>
      <c r="J12" s="49">
        <f t="shared" si="1"/>
        <v>1.1947991753553913</v>
      </c>
      <c r="K12" s="49">
        <f t="shared" si="1"/>
        <v>1.218695158862499</v>
      </c>
      <c r="L12" s="49">
        <f t="shared" si="1"/>
        <v>1.2430690620397491</v>
      </c>
      <c r="M12" s="50">
        <f t="shared" si="1"/>
        <v>1.2679304432805441</v>
      </c>
      <c r="N12" s="49">
        <f t="shared" si="1"/>
        <v>1.2932890521461549</v>
      </c>
      <c r="O12" s="49">
        <f>(1+$O5/100)*N12</f>
        <v>1.3191548331890779</v>
      </c>
      <c r="P12" s="49">
        <f t="shared" ref="P12:R12" si="2">(1+$O5/100)*O12</f>
        <v>1.3455379298528596</v>
      </c>
      <c r="Q12" s="49">
        <f t="shared" si="2"/>
        <v>1.3724486884499167</v>
      </c>
      <c r="R12" s="49">
        <f t="shared" si="2"/>
        <v>1.3998976622189152</v>
      </c>
    </row>
    <row r="13" spans="2:18" x14ac:dyDescent="0.3">
      <c r="B13" s="42" t="s">
        <v>111</v>
      </c>
      <c r="C13" s="49">
        <f>1+C6/100</f>
        <v>1.028</v>
      </c>
      <c r="D13" s="49">
        <f t="shared" ref="D13:O13" si="3">(1+D6/100)*C13</f>
        <v>1.057812</v>
      </c>
      <c r="E13" s="50">
        <f t="shared" si="3"/>
        <v>1.083199488</v>
      </c>
      <c r="F13" s="49">
        <f t="shared" si="3"/>
        <v>1.1070298767360001</v>
      </c>
      <c r="G13" s="49">
        <f t="shared" si="3"/>
        <v>1.130277504147456</v>
      </c>
      <c r="H13" s="49">
        <f t="shared" si="3"/>
        <v>1.1528830542304052</v>
      </c>
      <c r="I13" s="50">
        <f t="shared" si="3"/>
        <v>1.1759407153150132</v>
      </c>
      <c r="J13" s="49">
        <f t="shared" si="3"/>
        <v>1.1994595296213135</v>
      </c>
      <c r="K13" s="49">
        <f t="shared" si="3"/>
        <v>1.2234487202137398</v>
      </c>
      <c r="L13" s="49">
        <f t="shared" si="3"/>
        <v>1.2479176946180146</v>
      </c>
      <c r="M13" s="50">
        <f t="shared" si="3"/>
        <v>1.2728760485103749</v>
      </c>
      <c r="N13" s="49">
        <f t="shared" si="3"/>
        <v>1.2983335694805824</v>
      </c>
      <c r="O13" s="49">
        <f t="shared" ref="O13:R16" si="4">(1+$O6/100)*N13</f>
        <v>1.324300240870194</v>
      </c>
      <c r="P13" s="49">
        <f t="shared" si="4"/>
        <v>1.3507862456875979</v>
      </c>
      <c r="Q13" s="49">
        <f t="shared" si="4"/>
        <v>1.3778019706013498</v>
      </c>
      <c r="R13" s="49">
        <f t="shared" si="4"/>
        <v>1.4053580100133769</v>
      </c>
    </row>
    <row r="14" spans="2:18" x14ac:dyDescent="0.3">
      <c r="B14" s="42" t="s">
        <v>112</v>
      </c>
      <c r="C14" s="49">
        <f>1+C7/100</f>
        <v>1.028</v>
      </c>
      <c r="D14" s="49">
        <f t="shared" ref="D14:O14" si="5">(1+D7/100)*C14</f>
        <v>1.057812</v>
      </c>
      <c r="E14" s="50">
        <f t="shared" si="5"/>
        <v>1.0842573</v>
      </c>
      <c r="F14" s="49">
        <f t="shared" si="5"/>
        <v>1.1102794752</v>
      </c>
      <c r="G14" s="49">
        <f t="shared" si="5"/>
        <v>1.1358159031296</v>
      </c>
      <c r="H14" s="49">
        <f t="shared" si="5"/>
        <v>1.1619396689015806</v>
      </c>
      <c r="I14" s="50">
        <f t="shared" si="5"/>
        <v>1.1886642812863168</v>
      </c>
      <c r="J14" s="49">
        <f t="shared" si="5"/>
        <v>1.216003559755902</v>
      </c>
      <c r="K14" s="49">
        <f t="shared" si="5"/>
        <v>1.2439716416302877</v>
      </c>
      <c r="L14" s="49">
        <f t="shared" si="5"/>
        <v>1.2725829893877842</v>
      </c>
      <c r="M14" s="50">
        <f t="shared" si="5"/>
        <v>1.3018523981437031</v>
      </c>
      <c r="N14" s="49">
        <f t="shared" si="5"/>
        <v>1.3317950033010082</v>
      </c>
      <c r="O14" s="49">
        <f t="shared" si="4"/>
        <v>1.3624262883769314</v>
      </c>
      <c r="P14" s="49">
        <f t="shared" si="4"/>
        <v>1.3937620930096006</v>
      </c>
      <c r="Q14" s="49">
        <f t="shared" si="4"/>
        <v>1.4258186211488213</v>
      </c>
      <c r="R14" s="49">
        <f t="shared" si="4"/>
        <v>1.4586124494352442</v>
      </c>
    </row>
    <row r="15" spans="2:18" x14ac:dyDescent="0.3">
      <c r="B15" s="42" t="s">
        <v>113</v>
      </c>
      <c r="C15" s="49">
        <f>1+C8/100</f>
        <v>1.03</v>
      </c>
      <c r="D15" s="49">
        <f t="shared" ref="D15:O15" si="6">(1+D8/100)*C15</f>
        <v>1.06193</v>
      </c>
      <c r="E15" s="50">
        <f t="shared" si="6"/>
        <v>1.08954018</v>
      </c>
      <c r="F15" s="49">
        <f t="shared" si="6"/>
        <v>1.1156891443199999</v>
      </c>
      <c r="G15" s="49">
        <f t="shared" si="6"/>
        <v>1.1413499946393597</v>
      </c>
      <c r="H15" s="49">
        <f t="shared" si="6"/>
        <v>1.1676010445160649</v>
      </c>
      <c r="I15" s="50">
        <f t="shared" si="6"/>
        <v>1.1944558685399342</v>
      </c>
      <c r="J15" s="49">
        <f t="shared" si="6"/>
        <v>1.2219283535163525</v>
      </c>
      <c r="K15" s="49">
        <f t="shared" si="6"/>
        <v>1.2500327056472285</v>
      </c>
      <c r="L15" s="49">
        <f t="shared" si="6"/>
        <v>1.2787834578771147</v>
      </c>
      <c r="M15" s="50">
        <f t="shared" si="6"/>
        <v>1.3081954774082882</v>
      </c>
      <c r="N15" s="49">
        <f t="shared" si="6"/>
        <v>1.3382839733886787</v>
      </c>
      <c r="O15" s="49">
        <f t="shared" si="4"/>
        <v>1.3690645047766181</v>
      </c>
      <c r="P15" s="49">
        <f t="shared" si="4"/>
        <v>1.4005529883864802</v>
      </c>
      <c r="Q15" s="49">
        <f t="shared" si="4"/>
        <v>1.4327657071193691</v>
      </c>
      <c r="R15" s="49">
        <f t="shared" si="4"/>
        <v>1.4657193183831145</v>
      </c>
    </row>
    <row r="16" spans="2:18" x14ac:dyDescent="0.3">
      <c r="B16" s="42" t="s">
        <v>34</v>
      </c>
      <c r="C16" s="49">
        <f>1+C9/100</f>
        <v>1.0269999999999999</v>
      </c>
      <c r="D16" s="49">
        <f t="shared" ref="D16:O16" si="7">(1+D9/100)*C16</f>
        <v>1.0547289999999998</v>
      </c>
      <c r="E16" s="50">
        <f t="shared" si="7"/>
        <v>1.0800424959999999</v>
      </c>
      <c r="F16" s="49">
        <f t="shared" si="7"/>
        <v>1.1038034309119999</v>
      </c>
      <c r="G16" s="49">
        <f t="shared" si="7"/>
        <v>1.1269833029611518</v>
      </c>
      <c r="H16" s="49">
        <f t="shared" si="7"/>
        <v>1.1495229690203748</v>
      </c>
      <c r="I16" s="50">
        <f t="shared" si="7"/>
        <v>1.1725134284007823</v>
      </c>
      <c r="J16" s="49">
        <f t="shared" si="7"/>
        <v>1.1959636969687979</v>
      </c>
      <c r="K16" s="49">
        <f t="shared" si="7"/>
        <v>1.2198829709081738</v>
      </c>
      <c r="L16" s="49">
        <f t="shared" si="7"/>
        <v>1.2442806303263372</v>
      </c>
      <c r="M16" s="50">
        <f t="shared" si="7"/>
        <v>1.2691662429328638</v>
      </c>
      <c r="N16" s="49">
        <f t="shared" si="7"/>
        <v>1.2945495677915211</v>
      </c>
      <c r="O16" s="49">
        <f t="shared" si="4"/>
        <v>1.3204405591473516</v>
      </c>
      <c r="P16" s="49">
        <f t="shared" si="4"/>
        <v>1.3468493703302986</v>
      </c>
      <c r="Q16" s="49">
        <f t="shared" si="4"/>
        <v>1.3737863577369047</v>
      </c>
      <c r="R16" s="49">
        <f t="shared" si="4"/>
        <v>1.4012620848916428</v>
      </c>
    </row>
    <row r="18" spans="2:2" x14ac:dyDescent="0.3">
      <c r="B18" s="57" t="s">
        <v>115</v>
      </c>
    </row>
    <row r="19" spans="2:2" x14ac:dyDescent="0.3">
      <c r="B19" s="58" t="s">
        <v>116</v>
      </c>
    </row>
  </sheetData>
  <mergeCells count="2">
    <mergeCell ref="B1:P1"/>
    <mergeCell ref="B2:P2"/>
  </mergeCells>
  <hyperlinks>
    <hyperlink ref="B19" r:id="rId1" location="page=163" xr:uid="{00000000-0004-0000-07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4F1E2"/>
  </sheetPr>
  <dimension ref="B1:H18"/>
  <sheetViews>
    <sheetView topLeftCell="A4" workbookViewId="0">
      <selection activeCell="E5" sqref="E5"/>
    </sheetView>
  </sheetViews>
  <sheetFormatPr defaultRowHeight="14.4" x14ac:dyDescent="0.3"/>
  <cols>
    <col min="1" max="1" width="3.6640625" customWidth="1"/>
    <col min="2" max="3" width="25.6640625" customWidth="1"/>
    <col min="4" max="5" width="27.5546875" bestFit="1" customWidth="1"/>
    <col min="6" max="6" width="25.6640625" customWidth="1"/>
    <col min="7" max="7" width="18.44140625" bestFit="1" customWidth="1"/>
    <col min="8" max="8" width="21.33203125" customWidth="1"/>
  </cols>
  <sheetData>
    <row r="1" spans="2:8" ht="22.5" customHeight="1" x14ac:dyDescent="0.3">
      <c r="B1" s="123" t="s">
        <v>117</v>
      </c>
      <c r="C1" s="124"/>
      <c r="D1" s="124"/>
      <c r="E1" s="124"/>
      <c r="F1" s="124"/>
      <c r="G1" s="124"/>
      <c r="H1" s="124"/>
    </row>
    <row r="2" spans="2:8" ht="19.5" customHeight="1" x14ac:dyDescent="0.45">
      <c r="B2" s="133" t="s">
        <v>142</v>
      </c>
      <c r="C2" s="134"/>
      <c r="D2" s="134"/>
      <c r="E2" s="134"/>
      <c r="F2" s="134"/>
      <c r="G2" s="134"/>
      <c r="H2" s="134"/>
    </row>
    <row r="4" spans="2:8" s="1" customFormat="1" ht="16.2" x14ac:dyDescent="0.3">
      <c r="B4" s="41" t="s">
        <v>118</v>
      </c>
      <c r="C4" s="41" t="s">
        <v>119</v>
      </c>
      <c r="D4" s="41" t="s">
        <v>120</v>
      </c>
      <c r="E4" s="41" t="s">
        <v>121</v>
      </c>
      <c r="F4" s="41" t="s">
        <v>122</v>
      </c>
      <c r="G4" s="41" t="s">
        <v>149</v>
      </c>
      <c r="H4" s="41" t="s">
        <v>141</v>
      </c>
    </row>
    <row r="5" spans="2:8" x14ac:dyDescent="0.3">
      <c r="B5" s="47" t="s">
        <v>123</v>
      </c>
      <c r="C5" s="47" t="s">
        <v>123</v>
      </c>
      <c r="D5" s="47" t="s">
        <v>95</v>
      </c>
      <c r="E5" s="48" t="s">
        <v>95</v>
      </c>
      <c r="F5" s="47" t="s">
        <v>123</v>
      </c>
      <c r="G5" s="47"/>
      <c r="H5" s="47" t="s">
        <v>138</v>
      </c>
    </row>
    <row r="6" spans="2:8" ht="28.8" x14ac:dyDescent="0.3">
      <c r="B6" s="47" t="s">
        <v>124</v>
      </c>
      <c r="C6" s="47" t="s">
        <v>124</v>
      </c>
      <c r="D6" s="47" t="s">
        <v>31</v>
      </c>
      <c r="E6" s="48" t="s">
        <v>31</v>
      </c>
      <c r="F6" s="47" t="s">
        <v>124</v>
      </c>
      <c r="G6" s="47">
        <v>51.7</v>
      </c>
      <c r="H6" s="47" t="s">
        <v>152</v>
      </c>
    </row>
    <row r="7" spans="2:8" ht="28.8" x14ac:dyDescent="0.3">
      <c r="B7" s="47" t="s">
        <v>125</v>
      </c>
      <c r="C7" s="47" t="s">
        <v>125</v>
      </c>
      <c r="D7" s="47" t="s">
        <v>126</v>
      </c>
      <c r="E7" s="48" t="s">
        <v>126</v>
      </c>
      <c r="F7" s="47" t="s">
        <v>125</v>
      </c>
      <c r="G7" s="47">
        <v>80.2</v>
      </c>
      <c r="H7" s="47" t="s">
        <v>139</v>
      </c>
    </row>
    <row r="8" spans="2:8" ht="28.8" x14ac:dyDescent="0.3">
      <c r="B8" s="47" t="s">
        <v>127</v>
      </c>
      <c r="C8" s="47" t="s">
        <v>127</v>
      </c>
      <c r="D8" s="47"/>
      <c r="E8" s="48" t="s">
        <v>128</v>
      </c>
      <c r="F8" s="47" t="s">
        <v>127</v>
      </c>
      <c r="G8" s="47">
        <v>114.3</v>
      </c>
      <c r="H8" s="47" t="s">
        <v>147</v>
      </c>
    </row>
    <row r="9" spans="2:8" ht="57.6" x14ac:dyDescent="0.3">
      <c r="B9" s="47" t="s">
        <v>129</v>
      </c>
      <c r="C9" s="47" t="s">
        <v>129</v>
      </c>
      <c r="D9" s="47"/>
      <c r="E9" s="48"/>
      <c r="F9" s="47" t="s">
        <v>129</v>
      </c>
      <c r="G9" s="47">
        <v>113.6</v>
      </c>
      <c r="H9" s="47" t="s">
        <v>143</v>
      </c>
    </row>
    <row r="10" spans="2:8" ht="28.8" x14ac:dyDescent="0.3">
      <c r="B10" s="47" t="s">
        <v>130</v>
      </c>
      <c r="C10" s="47" t="s">
        <v>130</v>
      </c>
      <c r="D10" s="47"/>
      <c r="E10" s="48"/>
      <c r="F10" s="47" t="s">
        <v>130</v>
      </c>
      <c r="G10" s="47">
        <v>112.2</v>
      </c>
    </row>
    <row r="11" spans="2:8" ht="28.8" x14ac:dyDescent="0.3">
      <c r="B11" s="47" t="s">
        <v>131</v>
      </c>
      <c r="C11" s="47" t="s">
        <v>131</v>
      </c>
      <c r="D11" s="47"/>
      <c r="E11" s="48"/>
      <c r="F11" s="47" t="s">
        <v>131</v>
      </c>
      <c r="G11" s="47">
        <v>117.5</v>
      </c>
    </row>
    <row r="12" spans="2:8" ht="28.8" x14ac:dyDescent="0.3">
      <c r="B12" s="47" t="s">
        <v>132</v>
      </c>
      <c r="C12" s="47" t="s">
        <v>132</v>
      </c>
      <c r="D12" s="47"/>
      <c r="E12" s="48"/>
      <c r="F12" s="47" t="s">
        <v>132</v>
      </c>
      <c r="G12" s="47">
        <v>181.6</v>
      </c>
    </row>
    <row r="13" spans="2:8" ht="28.8" x14ac:dyDescent="0.3">
      <c r="B13" s="47" t="s">
        <v>133</v>
      </c>
      <c r="C13" s="47" t="s">
        <v>133</v>
      </c>
      <c r="D13" s="47"/>
      <c r="E13" s="48"/>
      <c r="F13" s="47" t="s">
        <v>133</v>
      </c>
      <c r="G13" s="47">
        <v>106.8</v>
      </c>
    </row>
    <row r="14" spans="2:8" x14ac:dyDescent="0.3">
      <c r="B14" s="47" t="s">
        <v>134</v>
      </c>
      <c r="C14" s="47" t="s">
        <v>140</v>
      </c>
      <c r="D14" s="47"/>
      <c r="E14" s="48"/>
      <c r="F14" s="47" t="s">
        <v>134</v>
      </c>
      <c r="G14" s="47"/>
    </row>
    <row r="15" spans="2:8" ht="28.8" x14ac:dyDescent="0.3">
      <c r="B15" s="47"/>
      <c r="C15" s="47" t="s">
        <v>27</v>
      </c>
      <c r="D15" s="47"/>
      <c r="E15" s="48"/>
      <c r="F15" s="47" t="s">
        <v>27</v>
      </c>
      <c r="G15" s="47"/>
    </row>
    <row r="18" spans="2:2" ht="16.8" x14ac:dyDescent="0.4">
      <c r="B18" s="57" t="s">
        <v>36</v>
      </c>
    </row>
  </sheetData>
  <mergeCells count="2">
    <mergeCell ref="B1:H1"/>
    <mergeCell ref="B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46344e-ec94-4c24-ada3-0d817196d5c6" xsi:nil="true"/>
    <lcf76f155ced4ddcb4097134ff3c332f xmlns="48f7e80c-61ed-4043-9da3-abd35210c97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F0CD72-BF9B-4353-B1E7-BC570C93CABB}">
  <ds:schemaRefs>
    <ds:schemaRef ds:uri="http://schemas.microsoft.com/office/2006/metadata/properties"/>
    <ds:schemaRef ds:uri="http://schemas.microsoft.com/office/infopath/2007/PartnerControls"/>
    <ds:schemaRef ds:uri="cc46344e-ec94-4c24-ada3-0d817196d5c6"/>
    <ds:schemaRef ds:uri="48f7e80c-61ed-4043-9da3-abd35210c977"/>
  </ds:schemaRefs>
</ds:datastoreItem>
</file>

<file path=customXml/itemProps2.xml><?xml version="1.0" encoding="utf-8"?>
<ds:datastoreItem xmlns:ds="http://schemas.openxmlformats.org/officeDocument/2006/customXml" ds:itemID="{ACD11AB0-B2A0-4D38-BD68-E17E1977AB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005C3D-B975-4BFF-BF4F-DF2051C9A84D}">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Start here</vt:lpstr>
      <vt:lpstr>Calculator</vt:lpstr>
      <vt:lpstr>(A) Capacity and Use</vt:lpstr>
      <vt:lpstr>(B) CI Standard</vt:lpstr>
      <vt:lpstr>(C) StatewideGridAvg</vt:lpstr>
      <vt:lpstr>(D) EDU CI Values</vt:lpstr>
      <vt:lpstr>(E) StatewideChange</vt:lpstr>
      <vt:lpstr>(F) Credit Price_nom</vt:lpstr>
      <vt:lpstr>(G) Inflation</vt:lpstr>
      <vt:lpstr>(H) OptionLists</vt:lpstr>
      <vt:lpstr>AnnualCIchange</vt:lpstr>
      <vt:lpstr>Capacity__DCFC</vt:lpstr>
      <vt:lpstr>Capacity__Level2</vt:lpstr>
      <vt:lpstr>DailyUse__DCFC</vt:lpstr>
      <vt:lpstr>DailyUse__Level2</vt:lpstr>
      <vt:lpstr>EDU_CI_Lookup</vt:lpstr>
      <vt:lpstr>GridCIMulti</vt:lpstr>
      <vt:lpstr>GridCISingle</vt:lpstr>
      <vt:lpstr>Inflation</vt:lpstr>
      <vt:lpstr>NoInflation</vt:lpstr>
      <vt:lpstr>NoManualChange</vt:lpstr>
      <vt:lpstr>PricesMulti</vt:lpstr>
      <vt:lpstr>PricesSingle</vt:lpstr>
      <vt:lpstr>SingleYear</vt:lpstr>
      <vt:lpstr>StateGridAvg_2026</vt:lpstr>
      <vt:lpstr>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Ford, Michael, ENV</dc:creator>
  <cp:keywords/>
  <dc:description/>
  <cp:lastModifiedBy>Ford, Michael, ENV</cp:lastModifiedBy>
  <cp:revision/>
  <dcterms:created xsi:type="dcterms:W3CDTF">2015-06-05T18:17:20Z</dcterms:created>
  <dcterms:modified xsi:type="dcterms:W3CDTF">2026-07-24T20:41:23Z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