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20648" documentId="13_ncr:1_{DEBDA19F-3FC4-4462-963A-CADB3C28CE17}" xr6:coauthVersionLast="47" xr6:coauthVersionMax="47" xr10:uidLastSave="{B52023F7-5522-455D-95A6-4820A181C252}"/>
  <bookViews>
    <workbookView xWindow="-28920" yWindow="-1950" windowWidth="29040" windowHeight="15720" activeTab="4" xr2:uid="{266CE33D-9676-4B10-A0AA-6D342DF29BFD}"/>
  </bookViews>
  <sheets>
    <sheet name="Introduction" sheetId="31" r:id="rId1"/>
    <sheet name="PathwaySummary" sheetId="29" r:id="rId2"/>
    <sheet name="SiteSpecificInputs" sheetId="26" r:id="rId3"/>
    <sheet name="AvoidedEmissions" sheetId="33" r:id="rId4"/>
    <sheet name="Background" sheetId="14" r:id="rId5"/>
  </sheets>
  <externalReferences>
    <externalReference r:id="rId6"/>
  </externalReferences>
  <definedNames>
    <definedName name="_xleta.IFERROR" hidden="1" xlm="1">#NAME?</definedName>
    <definedName name="_xleta.N" hidden="1" xlm="1">#NAME?</definedName>
    <definedName name="_xleta.SUM" hidden="1" xlm="1">#NAME?</definedName>
    <definedName name="_xleta.T"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Background!$M$6</definedName>
    <definedName name="Btu2kJ">Background!$M$7</definedName>
    <definedName name="Btu2kWh">Background!$M$10</definedName>
    <definedName name="Btu2MJ">Background!$M$8</definedName>
    <definedName name="Btu2Wh">Background!$M$9</definedName>
    <definedName name="CContent_CO">Background!$C$70</definedName>
    <definedName name="CContent_CO2">Background!$C$71</definedName>
    <definedName name="CContent_VOC">Background!$C$69</definedName>
    <definedName name="CH4_heat_ratio">Background!$E$8</definedName>
    <definedName name="ft32gal">Background!$M$25</definedName>
    <definedName name="ft32L">Background!$M$24</definedName>
    <definedName name="ft32m3">Background!$M$22</definedName>
    <definedName name="ft32mL">Background!$M$23</definedName>
    <definedName name="g2kg">Background!$I$16</definedName>
    <definedName name="g2lb">Background!$I$18</definedName>
    <definedName name="g2MT">Background!$I$17</definedName>
    <definedName name="g2T">Background!$I$19</definedName>
    <definedName name="gal2ft3">Background!$L$26</definedName>
    <definedName name="gal2L">Background!$L$24</definedName>
    <definedName name="gal2m3">Background!$L$22</definedName>
    <definedName name="gal2mL">Background!$L$23</definedName>
    <definedName name="grid_CIs">Background!$E$30:$E$58</definedName>
    <definedName name="grid_names">Background!$D$30:$D$58</definedName>
    <definedName name="grid_options">_xlfn.ANCHORARRAY(#REF!)</definedName>
    <definedName name="GWP_CH4">Background!$C$63</definedName>
    <definedName name="GWP_CO">Background!$C$66</definedName>
    <definedName name="GWP_N2O">Background!$C$64</definedName>
    <definedName name="GWP_VOC">Background!$C$65</definedName>
    <definedName name="Include_AvoidedMethane">#REF!</definedName>
    <definedName name="kg2g">Background!$J$15</definedName>
    <definedName name="kg2lb">Background!$J$18</definedName>
    <definedName name="kg2MT">Background!$J$17</definedName>
    <definedName name="kg2T">Background!$J$19</definedName>
    <definedName name="kJ2Btu">Background!$I$11</definedName>
    <definedName name="kJ2J">Background!$I$6</definedName>
    <definedName name="kJ2kWh">Background!$I$10</definedName>
    <definedName name="kJ2MJ">Background!$I$8</definedName>
    <definedName name="kJ2mmBtu">Background!$I$12</definedName>
    <definedName name="kJ2Wh">Background!$I$9</definedName>
    <definedName name="kWh2Btu">Background!$L$11</definedName>
    <definedName name="kWh2J">Background!$L$6</definedName>
    <definedName name="kWh2kJ">Background!$L$7</definedName>
    <definedName name="kWh2MJ">Background!$L$8</definedName>
    <definedName name="kWh2mmBtu">Background!$L$12</definedName>
    <definedName name="kWh2Wh">Background!$L$9</definedName>
    <definedName name="L2ft3">Background!$K$26</definedName>
    <definedName name="L2gal">Background!$K$25</definedName>
    <definedName name="L2m3">Background!$K$22</definedName>
    <definedName name="L2mL">Background!$K$23</definedName>
    <definedName name="lb2g">Background!$L$15</definedName>
    <definedName name="lb2kg">Background!$L$16</definedName>
    <definedName name="lb2MT">Background!$L$17</definedName>
    <definedName name="lb2T">Background!$L$19</definedName>
    <definedName name="m32ft3">Background!$I$26</definedName>
    <definedName name="m32gal">Background!$I$25</definedName>
    <definedName name="m32L">Background!$I$24</definedName>
    <definedName name="m32mL">Background!$I$23</definedName>
    <definedName name="MJ2Btu">Background!$J$11</definedName>
    <definedName name="MJ2J">Background!$J$6</definedName>
    <definedName name="MJ2kJ">Background!$J$7</definedName>
    <definedName name="MJ2kWh">Background!$J$10</definedName>
    <definedName name="MJ2mmBtu">Background!$J$12</definedName>
    <definedName name="MJ2Wh">Background!$J$9</definedName>
    <definedName name="mL2ft3">Background!$J$26</definedName>
    <definedName name="mL2gal">Background!$J$25</definedName>
    <definedName name="mL2L">Background!$J$24</definedName>
    <definedName name="mL2m3">Background!$J$22</definedName>
    <definedName name="mmBtu2Btu">Background!$N$11</definedName>
    <definedName name="mmBtu2J">Background!$N$6</definedName>
    <definedName name="mmBtu2kJ">Background!$N$7</definedName>
    <definedName name="mmBTU2kWh">Background!$N$10</definedName>
    <definedName name="mmBTU2MJ">Background!$N$8</definedName>
    <definedName name="mmBtu2Wh">Background!$N$9</definedName>
    <definedName name="months_baseline">[1]ManureToBiogas!$B$9</definedName>
    <definedName name="months_project">#REF!</definedName>
    <definedName name="MT2g">Background!$K$15</definedName>
    <definedName name="MT2kg">Background!$K$16</definedName>
    <definedName name="MT2lb">Background!$K$18</definedName>
    <definedName name="MT2T">Background!$K$19</definedName>
    <definedName name="NG_heat_ratio">Background!$E$9</definedName>
    <definedName name="state">#REF!</definedName>
    <definedName name="T2g">Background!$M$15</definedName>
    <definedName name="T2kg">Background!$M$16</definedName>
    <definedName name="T2lb">Background!$M$18</definedName>
    <definedName name="T2MT">Background!$M$17</definedName>
    <definedName name="user_grid_bcs">#REF!</definedName>
    <definedName name="user_grid_CI">SiteSpecificInputs!$C$22</definedName>
    <definedName name="user_grid_name">SiteSpecificInputs!$C$21</definedName>
    <definedName name="Wh2Btu">Background!$K$11</definedName>
    <definedName name="Wh2hph">Background!$N$13</definedName>
    <definedName name="Wh2J">Background!$K$6</definedName>
    <definedName name="Wh2kJ">Background!$K$7</definedName>
    <definedName name="Wh2kWh">Background!$K$10</definedName>
    <definedName name="Wh2MJ">Background!$K$8</definedName>
    <definedName name="Wh2mmBtu">Background!$K$12</definedName>
  </definedNames>
  <calcPr calcId="191028" calcMode="manual"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29" l="1"/>
  <c r="F47" i="29"/>
  <c r="F46" i="29"/>
  <c r="F45" i="29"/>
  <c r="F44" i="29"/>
  <c r="F27" i="29"/>
  <c r="F28" i="29" l="1"/>
  <c r="C71" i="14"/>
  <c r="C70" i="14"/>
  <c r="C65" i="14" l="1"/>
  <c r="C66" i="14"/>
  <c r="D33" i="29"/>
  <c r="L6" i="14" l="1"/>
  <c r="M10" i="14" s="1"/>
  <c r="N6" i="14"/>
  <c r="N9" i="14" s="1"/>
  <c r="J7" i="14"/>
  <c r="K7" i="14"/>
  <c r="M7" i="14"/>
  <c r="I8" i="14"/>
  <c r="K8" i="14"/>
  <c r="M8" i="14"/>
  <c r="I9" i="14"/>
  <c r="J9" i="14"/>
  <c r="M9" i="14"/>
  <c r="K10" i="14"/>
  <c r="I11" i="14"/>
  <c r="J11" i="14"/>
  <c r="K11" i="14"/>
  <c r="M15" i="14"/>
  <c r="J19" i="14" s="1"/>
  <c r="I16" i="14"/>
  <c r="K16" i="14"/>
  <c r="L16" i="14"/>
  <c r="I17" i="14"/>
  <c r="J17" i="14"/>
  <c r="L17" i="14"/>
  <c r="I18" i="14"/>
  <c r="J18" i="14"/>
  <c r="K18" i="14"/>
  <c r="I23" i="14"/>
  <c r="K23" i="14"/>
  <c r="L23" i="14"/>
  <c r="M23" i="14"/>
  <c r="I24" i="14"/>
  <c r="J24" i="14"/>
  <c r="L24" i="14"/>
  <c r="M24" i="14"/>
  <c r="I25" i="14"/>
  <c r="J25" i="14"/>
  <c r="K25" i="14"/>
  <c r="M25" i="14"/>
  <c r="I26" i="14"/>
  <c r="J26" i="14"/>
  <c r="K26" i="14"/>
  <c r="L26" i="14"/>
  <c r="C11" i="29"/>
  <c r="D13" i="33"/>
  <c r="D12" i="33"/>
  <c r="D7" i="33"/>
  <c r="D8" i="33"/>
  <c r="D9" i="33"/>
  <c r="D10" i="33"/>
  <c r="D11" i="33"/>
  <c r="D14" i="33"/>
  <c r="D15" i="33"/>
  <c r="D16" i="33"/>
  <c r="D17" i="33"/>
  <c r="G17" i="33"/>
  <c r="I21" i="33"/>
  <c r="I22" i="33"/>
  <c r="F29" i="29"/>
  <c r="C18" i="29" a="1"/>
  <c r="C18" i="29" s="1"/>
  <c r="C19" i="29" a="1"/>
  <c r="C19" i="29" s="1"/>
  <c r="C20" i="29" a="1"/>
  <c r="C20" i="29" s="1"/>
  <c r="C21" i="29" a="1"/>
  <c r="C21" i="29" s="1"/>
  <c r="F18" i="29" l="1" a="1"/>
  <c r="F18" i="29" s="1"/>
  <c r="L8" i="14"/>
  <c r="I10" i="14"/>
  <c r="M17" i="14"/>
  <c r="I16" i="33" s="1"/>
  <c r="L11" i="14"/>
  <c r="L7" i="14"/>
  <c r="J10" i="14"/>
  <c r="L9" i="14"/>
  <c r="L19" i="14"/>
  <c r="I19" i="14"/>
  <c r="M18" i="14"/>
  <c r="M16" i="14"/>
  <c r="F21" i="29" s="1" a="1"/>
  <c r="F21" i="29" s="1"/>
  <c r="C351" i="33"/>
  <c r="C137" i="33"/>
  <c r="I7" i="33"/>
  <c r="I11" i="33"/>
  <c r="I12" i="33"/>
  <c r="I13" i="33"/>
  <c r="K19" i="14"/>
  <c r="N11" i="14"/>
  <c r="M12" i="14"/>
  <c r="L12" i="14"/>
  <c r="N7" i="14"/>
  <c r="K12" i="14"/>
  <c r="N10" i="14"/>
  <c r="J12" i="14"/>
  <c r="I12" i="14"/>
  <c r="N8" i="14"/>
  <c r="C22" i="29"/>
  <c r="D30" i="33"/>
  <c r="G351" i="33"/>
  <c r="G244" i="33"/>
  <c r="G137" i="33"/>
  <c r="G30" i="33"/>
  <c r="I10" i="33" l="1"/>
  <c r="I17" i="33"/>
  <c r="I9" i="33"/>
  <c r="F19" i="29" a="1"/>
  <c r="F19" i="29" s="1"/>
  <c r="I8" i="33"/>
  <c r="I15" i="33"/>
  <c r="I14" i="33"/>
  <c r="C30" i="33" s="1"/>
  <c r="E33" i="33" s="1"/>
  <c r="D32" i="29"/>
  <c r="H453" i="33"/>
  <c r="E453" i="33"/>
  <c r="H452" i="33"/>
  <c r="E452" i="33"/>
  <c r="D453" i="33" s="1"/>
  <c r="H451" i="33"/>
  <c r="E451" i="33"/>
  <c r="D452" i="33" s="1"/>
  <c r="H450" i="33"/>
  <c r="E450" i="33"/>
  <c r="D451" i="33" s="1"/>
  <c r="H449" i="33"/>
  <c r="E449" i="33"/>
  <c r="D450" i="33" s="1"/>
  <c r="H448" i="33"/>
  <c r="E448" i="33"/>
  <c r="D449" i="33" s="1"/>
  <c r="H447" i="33"/>
  <c r="E447" i="33"/>
  <c r="D448" i="33" s="1"/>
  <c r="H446" i="33"/>
  <c r="E446" i="33"/>
  <c r="D447" i="33" s="1"/>
  <c r="H445" i="33"/>
  <c r="E445" i="33"/>
  <c r="D446" i="33" s="1"/>
  <c r="H444" i="33"/>
  <c r="E444" i="33"/>
  <c r="D445" i="33" s="1"/>
  <c r="H443" i="33"/>
  <c r="E443" i="33"/>
  <c r="D444" i="33" s="1"/>
  <c r="H442" i="33"/>
  <c r="E442" i="33"/>
  <c r="D443" i="33" s="1"/>
  <c r="H441" i="33"/>
  <c r="E441" i="33"/>
  <c r="D442" i="33" s="1"/>
  <c r="H440" i="33"/>
  <c r="E440" i="33"/>
  <c r="D441" i="33" s="1"/>
  <c r="H439" i="33"/>
  <c r="E439" i="33"/>
  <c r="D440" i="33" s="1"/>
  <c r="H438" i="33"/>
  <c r="E438" i="33"/>
  <c r="D439" i="33" s="1"/>
  <c r="H437" i="33"/>
  <c r="E437" i="33"/>
  <c r="D438" i="33" s="1"/>
  <c r="H436" i="33"/>
  <c r="E436" i="33"/>
  <c r="D437" i="33" s="1"/>
  <c r="H435" i="33"/>
  <c r="E435" i="33"/>
  <c r="D436" i="33" s="1"/>
  <c r="H434" i="33"/>
  <c r="E434" i="33"/>
  <c r="D435" i="33" s="1"/>
  <c r="H433" i="33"/>
  <c r="E433" i="33"/>
  <c r="D434" i="33" s="1"/>
  <c r="H432" i="33"/>
  <c r="E432" i="33"/>
  <c r="D433" i="33" s="1"/>
  <c r="H431" i="33"/>
  <c r="E431" i="33"/>
  <c r="D432" i="33" s="1"/>
  <c r="H430" i="33"/>
  <c r="E430" i="33"/>
  <c r="D431" i="33" s="1"/>
  <c r="H429" i="33"/>
  <c r="E429" i="33"/>
  <c r="D430" i="33" s="1"/>
  <c r="H428" i="33"/>
  <c r="E428" i="33"/>
  <c r="D429" i="33" s="1"/>
  <c r="H427" i="33"/>
  <c r="E427" i="33"/>
  <c r="D428" i="33" s="1"/>
  <c r="H426" i="33"/>
  <c r="E426" i="33"/>
  <c r="D427" i="33" s="1"/>
  <c r="H425" i="33"/>
  <c r="E425" i="33"/>
  <c r="D426" i="33" s="1"/>
  <c r="H424" i="33"/>
  <c r="E424" i="33"/>
  <c r="D425" i="33" s="1"/>
  <c r="H423" i="33"/>
  <c r="E423" i="33"/>
  <c r="D424" i="33" s="1"/>
  <c r="H422" i="33"/>
  <c r="E422" i="33"/>
  <c r="D423" i="33" s="1"/>
  <c r="H421" i="33"/>
  <c r="E421" i="33"/>
  <c r="D422" i="33" s="1"/>
  <c r="H420" i="33"/>
  <c r="E420" i="33"/>
  <c r="D421" i="33" s="1"/>
  <c r="H419" i="33"/>
  <c r="E419" i="33"/>
  <c r="D420" i="33" s="1"/>
  <c r="H418" i="33"/>
  <c r="E418" i="33"/>
  <c r="D419" i="33" s="1"/>
  <c r="H417" i="33"/>
  <c r="E417" i="33"/>
  <c r="D418" i="33" s="1"/>
  <c r="H416" i="33"/>
  <c r="E416" i="33"/>
  <c r="D417" i="33" s="1"/>
  <c r="H415" i="33"/>
  <c r="E415" i="33"/>
  <c r="D416" i="33" s="1"/>
  <c r="H414" i="33"/>
  <c r="E414" i="33"/>
  <c r="D415" i="33" s="1"/>
  <c r="J413" i="33"/>
  <c r="H413" i="33"/>
  <c r="E413" i="33"/>
  <c r="D414" i="33" s="1"/>
  <c r="J412" i="33"/>
  <c r="H412" i="33"/>
  <c r="E412" i="33"/>
  <c r="D413" i="33" s="1"/>
  <c r="J411" i="33"/>
  <c r="H411" i="33"/>
  <c r="E411" i="33"/>
  <c r="D412" i="33" s="1"/>
  <c r="J410" i="33"/>
  <c r="H410" i="33"/>
  <c r="E410" i="33"/>
  <c r="D411" i="33" s="1"/>
  <c r="J409" i="33"/>
  <c r="H409" i="33"/>
  <c r="E409" i="33"/>
  <c r="D410" i="33" s="1"/>
  <c r="J408" i="33"/>
  <c r="H408" i="33"/>
  <c r="E408" i="33"/>
  <c r="D409" i="33" s="1"/>
  <c r="J407" i="33"/>
  <c r="H407" i="33"/>
  <c r="E407" i="33"/>
  <c r="D408" i="33" s="1"/>
  <c r="J406" i="33"/>
  <c r="H406" i="33"/>
  <c r="E406" i="33"/>
  <c r="D407" i="33" s="1"/>
  <c r="J405" i="33"/>
  <c r="H405" i="33"/>
  <c r="E405" i="33"/>
  <c r="D406" i="33" s="1"/>
  <c r="J404" i="33"/>
  <c r="H404" i="33"/>
  <c r="E404" i="33"/>
  <c r="D405" i="33" s="1"/>
  <c r="J403" i="33"/>
  <c r="H403" i="33"/>
  <c r="E403" i="33"/>
  <c r="D404" i="33" s="1"/>
  <c r="J402" i="33"/>
  <c r="H402" i="33"/>
  <c r="E402" i="33"/>
  <c r="D403" i="33" s="1"/>
  <c r="J401" i="33"/>
  <c r="H401" i="33"/>
  <c r="E401" i="33"/>
  <c r="D402" i="33" s="1"/>
  <c r="J400" i="33"/>
  <c r="H400" i="33"/>
  <c r="E400" i="33"/>
  <c r="D401" i="33" s="1"/>
  <c r="J399" i="33"/>
  <c r="H399" i="33"/>
  <c r="E399" i="33"/>
  <c r="D400" i="33" s="1"/>
  <c r="J398" i="33"/>
  <c r="H398" i="33"/>
  <c r="E398" i="33"/>
  <c r="D399" i="33" s="1"/>
  <c r="J397" i="33"/>
  <c r="H397" i="33"/>
  <c r="E397" i="33"/>
  <c r="D398" i="33" s="1"/>
  <c r="J396" i="33"/>
  <c r="H396" i="33"/>
  <c r="E396" i="33"/>
  <c r="D397" i="33" s="1"/>
  <c r="J395" i="33"/>
  <c r="H395" i="33"/>
  <c r="E395" i="33"/>
  <c r="D396" i="33" s="1"/>
  <c r="J394" i="33"/>
  <c r="H394" i="33"/>
  <c r="E394" i="33"/>
  <c r="D395" i="33" s="1"/>
  <c r="J393" i="33"/>
  <c r="H393" i="33"/>
  <c r="E393" i="33"/>
  <c r="D394" i="33" s="1"/>
  <c r="J392" i="33"/>
  <c r="H392" i="33"/>
  <c r="E392" i="33"/>
  <c r="D393" i="33" s="1"/>
  <c r="J391" i="33"/>
  <c r="H391" i="33"/>
  <c r="E391" i="33"/>
  <c r="D392" i="33" s="1"/>
  <c r="J390" i="33"/>
  <c r="H390" i="33"/>
  <c r="E390" i="33"/>
  <c r="D391" i="33" s="1"/>
  <c r="J389" i="33"/>
  <c r="H389" i="33"/>
  <c r="E389" i="33"/>
  <c r="D390" i="33" s="1"/>
  <c r="J388" i="33"/>
  <c r="H388" i="33"/>
  <c r="E388" i="33"/>
  <c r="D389" i="33" s="1"/>
  <c r="J387" i="33"/>
  <c r="H387" i="33"/>
  <c r="E387" i="33"/>
  <c r="D388" i="33" s="1"/>
  <c r="J386" i="33"/>
  <c r="H386" i="33"/>
  <c r="E386" i="33"/>
  <c r="D387" i="33" s="1"/>
  <c r="J385" i="33"/>
  <c r="H385" i="33"/>
  <c r="E385" i="33"/>
  <c r="D386" i="33" s="1"/>
  <c r="J384" i="33"/>
  <c r="H384" i="33"/>
  <c r="E384" i="33"/>
  <c r="D385" i="33" s="1"/>
  <c r="J383" i="33"/>
  <c r="H383" i="33"/>
  <c r="E383" i="33"/>
  <c r="D384" i="33" s="1"/>
  <c r="J382" i="33"/>
  <c r="H382" i="33"/>
  <c r="E382" i="33"/>
  <c r="D383" i="33" s="1"/>
  <c r="J381" i="33"/>
  <c r="H381" i="33"/>
  <c r="E381" i="33"/>
  <c r="D382" i="33" s="1"/>
  <c r="J380" i="33"/>
  <c r="H380" i="33"/>
  <c r="E380" i="33"/>
  <c r="D381" i="33" s="1"/>
  <c r="J379" i="33"/>
  <c r="H379" i="33"/>
  <c r="E379" i="33"/>
  <c r="D380" i="33" s="1"/>
  <c r="J378" i="33"/>
  <c r="H378" i="33"/>
  <c r="E378" i="33"/>
  <c r="D379" i="33" s="1"/>
  <c r="J377" i="33"/>
  <c r="H377" i="33"/>
  <c r="E377" i="33"/>
  <c r="D378" i="33" s="1"/>
  <c r="J376" i="33"/>
  <c r="H376" i="33"/>
  <c r="E376" i="33"/>
  <c r="D377" i="33" s="1"/>
  <c r="J375" i="33"/>
  <c r="H375" i="33"/>
  <c r="E375" i="33"/>
  <c r="D376" i="33" s="1"/>
  <c r="J374" i="33"/>
  <c r="H374" i="33"/>
  <c r="E374" i="33"/>
  <c r="D375" i="33" s="1"/>
  <c r="J373" i="33"/>
  <c r="H373" i="33"/>
  <c r="E373" i="33"/>
  <c r="D374" i="33" s="1"/>
  <c r="J372" i="33"/>
  <c r="H372" i="33"/>
  <c r="E372" i="33"/>
  <c r="D373" i="33" s="1"/>
  <c r="J371" i="33"/>
  <c r="H371" i="33"/>
  <c r="E371" i="33"/>
  <c r="D372" i="33" s="1"/>
  <c r="J370" i="33"/>
  <c r="H370" i="33"/>
  <c r="E370" i="33"/>
  <c r="D371" i="33" s="1"/>
  <c r="J369" i="33"/>
  <c r="H369" i="33"/>
  <c r="E369" i="33"/>
  <c r="D370" i="33" s="1"/>
  <c r="J368" i="33"/>
  <c r="H368" i="33"/>
  <c r="E368" i="33"/>
  <c r="D369" i="33" s="1"/>
  <c r="J367" i="33"/>
  <c r="H367" i="33"/>
  <c r="E367" i="33"/>
  <c r="D368" i="33" s="1"/>
  <c r="J366" i="33"/>
  <c r="H366" i="33"/>
  <c r="E366" i="33"/>
  <c r="D367" i="33" s="1"/>
  <c r="J365" i="33"/>
  <c r="H365" i="33"/>
  <c r="E365" i="33"/>
  <c r="D366" i="33" s="1"/>
  <c r="J364" i="33"/>
  <c r="H364" i="33"/>
  <c r="E364" i="33"/>
  <c r="D365" i="33" s="1"/>
  <c r="J363" i="33"/>
  <c r="H363" i="33"/>
  <c r="E363" i="33"/>
  <c r="D364" i="33" s="1"/>
  <c r="J362" i="33"/>
  <c r="H362" i="33"/>
  <c r="E362" i="33"/>
  <c r="D363" i="33" s="1"/>
  <c r="J361" i="33"/>
  <c r="H361" i="33"/>
  <c r="E361" i="33"/>
  <c r="D362" i="33" s="1"/>
  <c r="J360" i="33"/>
  <c r="H360" i="33"/>
  <c r="E360" i="33"/>
  <c r="D361" i="33" s="1"/>
  <c r="J359" i="33"/>
  <c r="H359" i="33"/>
  <c r="E359" i="33"/>
  <c r="D360" i="33" s="1"/>
  <c r="J358" i="33"/>
  <c r="H358" i="33"/>
  <c r="E358" i="33"/>
  <c r="D359" i="33" s="1"/>
  <c r="J357" i="33"/>
  <c r="H357" i="33"/>
  <c r="E357" i="33"/>
  <c r="D358" i="33" s="1"/>
  <c r="J356" i="33"/>
  <c r="H356" i="33"/>
  <c r="E356" i="33"/>
  <c r="D357" i="33" s="1"/>
  <c r="E355" i="33"/>
  <c r="D356" i="33" s="1"/>
  <c r="H346" i="33"/>
  <c r="E346" i="33"/>
  <c r="H345" i="33"/>
  <c r="E345" i="33"/>
  <c r="D346" i="33" s="1"/>
  <c r="H344" i="33"/>
  <c r="E344" i="33"/>
  <c r="D345" i="33" s="1"/>
  <c r="H343" i="33"/>
  <c r="E343" i="33"/>
  <c r="D344" i="33" s="1"/>
  <c r="H342" i="33"/>
  <c r="E342" i="33"/>
  <c r="D343" i="33" s="1"/>
  <c r="H341" i="33"/>
  <c r="E341" i="33"/>
  <c r="D342" i="33" s="1"/>
  <c r="H340" i="33"/>
  <c r="E340" i="33"/>
  <c r="D341" i="33" s="1"/>
  <c r="H339" i="33"/>
  <c r="E339" i="33"/>
  <c r="D340" i="33" s="1"/>
  <c r="H338" i="33"/>
  <c r="E338" i="33"/>
  <c r="D339" i="33" s="1"/>
  <c r="H337" i="33"/>
  <c r="E337" i="33"/>
  <c r="D338" i="33" s="1"/>
  <c r="H336" i="33"/>
  <c r="E336" i="33"/>
  <c r="D337" i="33" s="1"/>
  <c r="H335" i="33"/>
  <c r="E335" i="33"/>
  <c r="D336" i="33" s="1"/>
  <c r="H334" i="33"/>
  <c r="E334" i="33"/>
  <c r="D335" i="33" s="1"/>
  <c r="H333" i="33"/>
  <c r="E333" i="33"/>
  <c r="D334" i="33" s="1"/>
  <c r="H332" i="33"/>
  <c r="E332" i="33"/>
  <c r="D333" i="33" s="1"/>
  <c r="H331" i="33"/>
  <c r="E331" i="33"/>
  <c r="D332" i="33" s="1"/>
  <c r="H330" i="33"/>
  <c r="E330" i="33"/>
  <c r="D331" i="33" s="1"/>
  <c r="H329" i="33"/>
  <c r="E329" i="33"/>
  <c r="D330" i="33" s="1"/>
  <c r="H328" i="33"/>
  <c r="E328" i="33"/>
  <c r="D329" i="33" s="1"/>
  <c r="H327" i="33"/>
  <c r="E327" i="33"/>
  <c r="D328" i="33" s="1"/>
  <c r="H326" i="33"/>
  <c r="E326" i="33"/>
  <c r="D327" i="33" s="1"/>
  <c r="H325" i="33"/>
  <c r="E325" i="33"/>
  <c r="D326" i="33" s="1"/>
  <c r="H324" i="33"/>
  <c r="E324" i="33"/>
  <c r="D325" i="33" s="1"/>
  <c r="H323" i="33"/>
  <c r="E323" i="33"/>
  <c r="D324" i="33" s="1"/>
  <c r="H322" i="33"/>
  <c r="E322" i="33"/>
  <c r="D323" i="33" s="1"/>
  <c r="H321" i="33"/>
  <c r="E321" i="33"/>
  <c r="D322" i="33" s="1"/>
  <c r="H320" i="33"/>
  <c r="E320" i="33"/>
  <c r="D321" i="33" s="1"/>
  <c r="H319" i="33"/>
  <c r="E319" i="33"/>
  <c r="D320" i="33" s="1"/>
  <c r="H318" i="33"/>
  <c r="E318" i="33"/>
  <c r="D319" i="33" s="1"/>
  <c r="H317" i="33"/>
  <c r="E317" i="33"/>
  <c r="D318" i="33" s="1"/>
  <c r="H316" i="33"/>
  <c r="E316" i="33"/>
  <c r="D317" i="33" s="1"/>
  <c r="H315" i="33"/>
  <c r="E315" i="33"/>
  <c r="D316" i="33" s="1"/>
  <c r="H314" i="33"/>
  <c r="E314" i="33"/>
  <c r="D315" i="33" s="1"/>
  <c r="H313" i="33"/>
  <c r="E313" i="33"/>
  <c r="D314" i="33" s="1"/>
  <c r="H312" i="33"/>
  <c r="E312" i="33"/>
  <c r="D313" i="33" s="1"/>
  <c r="H311" i="33"/>
  <c r="E311" i="33"/>
  <c r="D312" i="33" s="1"/>
  <c r="H310" i="33"/>
  <c r="E310" i="33"/>
  <c r="D311" i="33" s="1"/>
  <c r="H309" i="33"/>
  <c r="E309" i="33"/>
  <c r="D310" i="33" s="1"/>
  <c r="H308" i="33"/>
  <c r="E308" i="33"/>
  <c r="D309" i="33" s="1"/>
  <c r="H307" i="33"/>
  <c r="E307" i="33"/>
  <c r="D308" i="33" s="1"/>
  <c r="J306" i="33"/>
  <c r="H306" i="33"/>
  <c r="E306" i="33"/>
  <c r="D307" i="33" s="1"/>
  <c r="J305" i="33"/>
  <c r="H305" i="33"/>
  <c r="E305" i="33"/>
  <c r="D306" i="33" s="1"/>
  <c r="J304" i="33"/>
  <c r="H304" i="33"/>
  <c r="E304" i="33"/>
  <c r="D305" i="33" s="1"/>
  <c r="J303" i="33"/>
  <c r="H303" i="33"/>
  <c r="E303" i="33"/>
  <c r="D304" i="33" s="1"/>
  <c r="J302" i="33"/>
  <c r="H302" i="33"/>
  <c r="E302" i="33"/>
  <c r="D303" i="33" s="1"/>
  <c r="J301" i="33"/>
  <c r="H301" i="33"/>
  <c r="E301" i="33"/>
  <c r="D302" i="33" s="1"/>
  <c r="J300" i="33"/>
  <c r="H300" i="33"/>
  <c r="E300" i="33"/>
  <c r="D301" i="33" s="1"/>
  <c r="J299" i="33"/>
  <c r="H299" i="33"/>
  <c r="E299" i="33"/>
  <c r="D300" i="33" s="1"/>
  <c r="J298" i="33"/>
  <c r="H298" i="33"/>
  <c r="E298" i="33"/>
  <c r="D299" i="33" s="1"/>
  <c r="J297" i="33"/>
  <c r="H297" i="33"/>
  <c r="E297" i="33"/>
  <c r="D298" i="33" s="1"/>
  <c r="J296" i="33"/>
  <c r="H296" i="33"/>
  <c r="E296" i="33"/>
  <c r="D297" i="33" s="1"/>
  <c r="J295" i="33"/>
  <c r="H295" i="33"/>
  <c r="E295" i="33"/>
  <c r="D296" i="33" s="1"/>
  <c r="J294" i="33"/>
  <c r="H294" i="33"/>
  <c r="E294" i="33"/>
  <c r="D295" i="33" s="1"/>
  <c r="J293" i="33"/>
  <c r="H293" i="33"/>
  <c r="E293" i="33"/>
  <c r="D294" i="33" s="1"/>
  <c r="J292" i="33"/>
  <c r="H292" i="33"/>
  <c r="E292" i="33"/>
  <c r="D293" i="33" s="1"/>
  <c r="J291" i="33"/>
  <c r="H291" i="33"/>
  <c r="E291" i="33"/>
  <c r="D292" i="33" s="1"/>
  <c r="J290" i="33"/>
  <c r="H290" i="33"/>
  <c r="E290" i="33"/>
  <c r="D291" i="33" s="1"/>
  <c r="J289" i="33"/>
  <c r="H289" i="33"/>
  <c r="E289" i="33"/>
  <c r="D290" i="33" s="1"/>
  <c r="J288" i="33"/>
  <c r="H288" i="33"/>
  <c r="E288" i="33"/>
  <c r="D289" i="33" s="1"/>
  <c r="J287" i="33"/>
  <c r="H287" i="33"/>
  <c r="E287" i="33"/>
  <c r="D288" i="33" s="1"/>
  <c r="J286" i="33"/>
  <c r="H286" i="33"/>
  <c r="E286" i="33"/>
  <c r="D287" i="33" s="1"/>
  <c r="J285" i="33"/>
  <c r="H285" i="33"/>
  <c r="E285" i="33"/>
  <c r="D286" i="33" s="1"/>
  <c r="J284" i="33"/>
  <c r="H284" i="33"/>
  <c r="E284" i="33"/>
  <c r="D285" i="33" s="1"/>
  <c r="J283" i="33"/>
  <c r="H283" i="33"/>
  <c r="E283" i="33"/>
  <c r="D284" i="33" s="1"/>
  <c r="J282" i="33"/>
  <c r="H282" i="33"/>
  <c r="E282" i="33"/>
  <c r="D283" i="33" s="1"/>
  <c r="J281" i="33"/>
  <c r="H281" i="33"/>
  <c r="E281" i="33"/>
  <c r="D282" i="33" s="1"/>
  <c r="J280" i="33"/>
  <c r="H280" i="33"/>
  <c r="E280" i="33"/>
  <c r="D281" i="33" s="1"/>
  <c r="J279" i="33"/>
  <c r="H279" i="33"/>
  <c r="E279" i="33"/>
  <c r="D280" i="33" s="1"/>
  <c r="J278" i="33"/>
  <c r="H278" i="33"/>
  <c r="E278" i="33"/>
  <c r="D279" i="33" s="1"/>
  <c r="J277" i="33"/>
  <c r="H277" i="33"/>
  <c r="E277" i="33"/>
  <c r="D278" i="33" s="1"/>
  <c r="J276" i="33"/>
  <c r="H276" i="33"/>
  <c r="E276" i="33"/>
  <c r="D277" i="33" s="1"/>
  <c r="J275" i="33"/>
  <c r="H275" i="33"/>
  <c r="E275" i="33"/>
  <c r="D276" i="33" s="1"/>
  <c r="J274" i="33"/>
  <c r="H274" i="33"/>
  <c r="E274" i="33"/>
  <c r="D275" i="33" s="1"/>
  <c r="J273" i="33"/>
  <c r="H273" i="33"/>
  <c r="E273" i="33"/>
  <c r="D274" i="33" s="1"/>
  <c r="J272" i="33"/>
  <c r="H272" i="33"/>
  <c r="E272" i="33"/>
  <c r="D273" i="33" s="1"/>
  <c r="J271" i="33"/>
  <c r="H271" i="33"/>
  <c r="E271" i="33"/>
  <c r="D272" i="33" s="1"/>
  <c r="J270" i="33"/>
  <c r="H270" i="33"/>
  <c r="E270" i="33"/>
  <c r="D271" i="33" s="1"/>
  <c r="J269" i="33"/>
  <c r="H269" i="33"/>
  <c r="E269" i="33"/>
  <c r="D270" i="33" s="1"/>
  <c r="J268" i="33"/>
  <c r="H268" i="33"/>
  <c r="E268" i="33"/>
  <c r="D269" i="33" s="1"/>
  <c r="J267" i="33"/>
  <c r="H267" i="33"/>
  <c r="E267" i="33"/>
  <c r="D268" i="33" s="1"/>
  <c r="J266" i="33"/>
  <c r="H266" i="33"/>
  <c r="E266" i="33"/>
  <c r="D267" i="33" s="1"/>
  <c r="J265" i="33"/>
  <c r="H265" i="33"/>
  <c r="E265" i="33"/>
  <c r="D266" i="33" s="1"/>
  <c r="J264" i="33"/>
  <c r="H264" i="33"/>
  <c r="E264" i="33"/>
  <c r="D265" i="33" s="1"/>
  <c r="J263" i="33"/>
  <c r="H263" i="33"/>
  <c r="E263" i="33"/>
  <c r="D264" i="33" s="1"/>
  <c r="J262" i="33"/>
  <c r="H262" i="33"/>
  <c r="E262" i="33"/>
  <c r="D263" i="33" s="1"/>
  <c r="J261" i="33"/>
  <c r="H261" i="33"/>
  <c r="E261" i="33"/>
  <c r="D262" i="33" s="1"/>
  <c r="J260" i="33"/>
  <c r="H260" i="33"/>
  <c r="E260" i="33"/>
  <c r="D261" i="33" s="1"/>
  <c r="J259" i="33"/>
  <c r="H259" i="33"/>
  <c r="E259" i="33"/>
  <c r="D260" i="33" s="1"/>
  <c r="J258" i="33"/>
  <c r="H258" i="33"/>
  <c r="E258" i="33"/>
  <c r="D259" i="33" s="1"/>
  <c r="J257" i="33"/>
  <c r="H257" i="33"/>
  <c r="E257" i="33"/>
  <c r="D258" i="33" s="1"/>
  <c r="J256" i="33"/>
  <c r="H256" i="33"/>
  <c r="E256" i="33"/>
  <c r="D257" i="33" s="1"/>
  <c r="J255" i="33"/>
  <c r="H255" i="33"/>
  <c r="E255" i="33"/>
  <c r="D256" i="33" s="1"/>
  <c r="J254" i="33"/>
  <c r="H254" i="33"/>
  <c r="E254" i="33"/>
  <c r="D255" i="33" s="1"/>
  <c r="J253" i="33"/>
  <c r="H253" i="33"/>
  <c r="E253" i="33"/>
  <c r="D254" i="33" s="1"/>
  <c r="J252" i="33"/>
  <c r="H252" i="33"/>
  <c r="E252" i="33"/>
  <c r="D253" i="33" s="1"/>
  <c r="J251" i="33"/>
  <c r="H251" i="33"/>
  <c r="E251" i="33"/>
  <c r="D252" i="33" s="1"/>
  <c r="J250" i="33"/>
  <c r="H250" i="33"/>
  <c r="E250" i="33"/>
  <c r="D251" i="33" s="1"/>
  <c r="J249" i="33"/>
  <c r="H249" i="33"/>
  <c r="E249" i="33"/>
  <c r="D250" i="33" s="1"/>
  <c r="E248" i="33"/>
  <c r="D249" i="33" s="1"/>
  <c r="D137" i="33"/>
  <c r="K137" i="33" s="1"/>
  <c r="E140" i="33"/>
  <c r="D141" i="33" s="1"/>
  <c r="H239" i="33"/>
  <c r="E239" i="33"/>
  <c r="H238" i="33"/>
  <c r="E238" i="33"/>
  <c r="D239" i="33" s="1"/>
  <c r="H237" i="33"/>
  <c r="E237" i="33"/>
  <c r="D238" i="33" s="1"/>
  <c r="H236" i="33"/>
  <c r="E236" i="33"/>
  <c r="D237" i="33" s="1"/>
  <c r="H235" i="33"/>
  <c r="E235" i="33"/>
  <c r="D236" i="33" s="1"/>
  <c r="H234" i="33"/>
  <c r="E234" i="33"/>
  <c r="D235" i="33" s="1"/>
  <c r="H233" i="33"/>
  <c r="E233" i="33"/>
  <c r="D234" i="33" s="1"/>
  <c r="H232" i="33"/>
  <c r="E232" i="33"/>
  <c r="D233" i="33" s="1"/>
  <c r="H231" i="33"/>
  <c r="E231" i="33"/>
  <c r="D232" i="33" s="1"/>
  <c r="H230" i="33"/>
  <c r="E230" i="33"/>
  <c r="D231" i="33" s="1"/>
  <c r="H229" i="33"/>
  <c r="E229" i="33"/>
  <c r="D230" i="33" s="1"/>
  <c r="H228" i="33"/>
  <c r="E228" i="33"/>
  <c r="D229" i="33" s="1"/>
  <c r="H227" i="33"/>
  <c r="E227" i="33"/>
  <c r="D228" i="33" s="1"/>
  <c r="H226" i="33"/>
  <c r="E226" i="33"/>
  <c r="D227" i="33" s="1"/>
  <c r="H225" i="33"/>
  <c r="E225" i="33"/>
  <c r="D226" i="33" s="1"/>
  <c r="H224" i="33"/>
  <c r="E224" i="33"/>
  <c r="D225" i="33" s="1"/>
  <c r="H223" i="33"/>
  <c r="E223" i="33"/>
  <c r="D224" i="33" s="1"/>
  <c r="H222" i="33"/>
  <c r="E222" i="33"/>
  <c r="D223" i="33" s="1"/>
  <c r="H221" i="33"/>
  <c r="E221" i="33"/>
  <c r="D222" i="33" s="1"/>
  <c r="H220" i="33"/>
  <c r="E220" i="33"/>
  <c r="D221" i="33" s="1"/>
  <c r="H219" i="33"/>
  <c r="E219" i="33"/>
  <c r="D220" i="33" s="1"/>
  <c r="H218" i="33"/>
  <c r="E218" i="33"/>
  <c r="D219" i="33" s="1"/>
  <c r="H217" i="33"/>
  <c r="E217" i="33"/>
  <c r="D218" i="33" s="1"/>
  <c r="H216" i="33"/>
  <c r="E216" i="33"/>
  <c r="D217" i="33" s="1"/>
  <c r="H215" i="33"/>
  <c r="E215" i="33"/>
  <c r="D216" i="33" s="1"/>
  <c r="H214" i="33"/>
  <c r="E214" i="33"/>
  <c r="D215" i="33" s="1"/>
  <c r="H213" i="33"/>
  <c r="E213" i="33"/>
  <c r="D214" i="33" s="1"/>
  <c r="H212" i="33"/>
  <c r="E212" i="33"/>
  <c r="D213" i="33" s="1"/>
  <c r="H211" i="33"/>
  <c r="E211" i="33"/>
  <c r="D212" i="33" s="1"/>
  <c r="H210" i="33"/>
  <c r="E210" i="33"/>
  <c r="D211" i="33" s="1"/>
  <c r="H209" i="33"/>
  <c r="E209" i="33"/>
  <c r="D210" i="33" s="1"/>
  <c r="H208" i="33"/>
  <c r="E208" i="33"/>
  <c r="D209" i="33" s="1"/>
  <c r="H207" i="33"/>
  <c r="E207" i="33"/>
  <c r="D208" i="33" s="1"/>
  <c r="H206" i="33"/>
  <c r="E206" i="33"/>
  <c r="D207" i="33" s="1"/>
  <c r="H205" i="33"/>
  <c r="E205" i="33"/>
  <c r="D206" i="33" s="1"/>
  <c r="H204" i="33"/>
  <c r="E204" i="33"/>
  <c r="D205" i="33" s="1"/>
  <c r="H203" i="33"/>
  <c r="E203" i="33"/>
  <c r="D204" i="33" s="1"/>
  <c r="H202" i="33"/>
  <c r="E202" i="33"/>
  <c r="D203" i="33" s="1"/>
  <c r="H201" i="33"/>
  <c r="E201" i="33"/>
  <c r="D202" i="33" s="1"/>
  <c r="H200" i="33"/>
  <c r="E200" i="33"/>
  <c r="D201" i="33" s="1"/>
  <c r="J199" i="33"/>
  <c r="H199" i="33"/>
  <c r="E199" i="33"/>
  <c r="D200" i="33" s="1"/>
  <c r="J198" i="33"/>
  <c r="H198" i="33"/>
  <c r="E198" i="33"/>
  <c r="D199" i="33" s="1"/>
  <c r="J197" i="33"/>
  <c r="H197" i="33"/>
  <c r="E197" i="33"/>
  <c r="D198" i="33" s="1"/>
  <c r="J196" i="33"/>
  <c r="H196" i="33"/>
  <c r="E196" i="33"/>
  <c r="D197" i="33" s="1"/>
  <c r="J195" i="33"/>
  <c r="H195" i="33"/>
  <c r="E195" i="33"/>
  <c r="D196" i="33" s="1"/>
  <c r="J194" i="33"/>
  <c r="H194" i="33"/>
  <c r="E194" i="33"/>
  <c r="D195" i="33" s="1"/>
  <c r="J193" i="33"/>
  <c r="H193" i="33"/>
  <c r="E193" i="33"/>
  <c r="D194" i="33" s="1"/>
  <c r="J192" i="33"/>
  <c r="H192" i="33"/>
  <c r="E192" i="33"/>
  <c r="D193" i="33" s="1"/>
  <c r="J191" i="33"/>
  <c r="H191" i="33"/>
  <c r="E191" i="33"/>
  <c r="D192" i="33" s="1"/>
  <c r="J190" i="33"/>
  <c r="H190" i="33"/>
  <c r="E190" i="33"/>
  <c r="D191" i="33" s="1"/>
  <c r="J189" i="33"/>
  <c r="H189" i="33"/>
  <c r="E189" i="33"/>
  <c r="D190" i="33" s="1"/>
  <c r="J188" i="33"/>
  <c r="H188" i="33"/>
  <c r="E188" i="33"/>
  <c r="D189" i="33" s="1"/>
  <c r="J187" i="33"/>
  <c r="H187" i="33"/>
  <c r="E187" i="33"/>
  <c r="D188" i="33" s="1"/>
  <c r="J186" i="33"/>
  <c r="H186" i="33"/>
  <c r="E186" i="33"/>
  <c r="D187" i="33" s="1"/>
  <c r="J185" i="33"/>
  <c r="H185" i="33"/>
  <c r="E185" i="33"/>
  <c r="D186" i="33" s="1"/>
  <c r="J184" i="33"/>
  <c r="H184" i="33"/>
  <c r="E184" i="33"/>
  <c r="D185" i="33" s="1"/>
  <c r="J183" i="33"/>
  <c r="H183" i="33"/>
  <c r="E183" i="33"/>
  <c r="D184" i="33" s="1"/>
  <c r="J182" i="33"/>
  <c r="H182" i="33"/>
  <c r="E182" i="33"/>
  <c r="D183" i="33" s="1"/>
  <c r="J181" i="33"/>
  <c r="H181" i="33"/>
  <c r="E181" i="33"/>
  <c r="D182" i="33" s="1"/>
  <c r="J180" i="33"/>
  <c r="H180" i="33"/>
  <c r="E180" i="33"/>
  <c r="D181" i="33" s="1"/>
  <c r="J179" i="33"/>
  <c r="H179" i="33"/>
  <c r="E179" i="33"/>
  <c r="D180" i="33" s="1"/>
  <c r="J178" i="33"/>
  <c r="H178" i="33"/>
  <c r="E178" i="33"/>
  <c r="D179" i="33" s="1"/>
  <c r="J177" i="33"/>
  <c r="H177" i="33"/>
  <c r="E177" i="33"/>
  <c r="D178" i="33" s="1"/>
  <c r="J176" i="33"/>
  <c r="H176" i="33"/>
  <c r="E176" i="33"/>
  <c r="D177" i="33" s="1"/>
  <c r="J175" i="33"/>
  <c r="H175" i="33"/>
  <c r="E175" i="33"/>
  <c r="D176" i="33" s="1"/>
  <c r="J174" i="33"/>
  <c r="H174" i="33"/>
  <c r="E174" i="33"/>
  <c r="D175" i="33" s="1"/>
  <c r="J173" i="33"/>
  <c r="H173" i="33"/>
  <c r="E173" i="33"/>
  <c r="D174" i="33" s="1"/>
  <c r="J172" i="33"/>
  <c r="H172" i="33"/>
  <c r="E172" i="33"/>
  <c r="D173" i="33" s="1"/>
  <c r="J171" i="33"/>
  <c r="H171" i="33"/>
  <c r="E171" i="33"/>
  <c r="D172" i="33" s="1"/>
  <c r="J170" i="33"/>
  <c r="H170" i="33"/>
  <c r="E170" i="33"/>
  <c r="D171" i="33" s="1"/>
  <c r="J169" i="33"/>
  <c r="H169" i="33"/>
  <c r="E169" i="33"/>
  <c r="D170" i="33" s="1"/>
  <c r="J168" i="33"/>
  <c r="H168" i="33"/>
  <c r="E168" i="33"/>
  <c r="D169" i="33" s="1"/>
  <c r="J167" i="33"/>
  <c r="H167" i="33"/>
  <c r="E167" i="33"/>
  <c r="D168" i="33" s="1"/>
  <c r="J166" i="33"/>
  <c r="H166" i="33"/>
  <c r="E166" i="33"/>
  <c r="D167" i="33" s="1"/>
  <c r="J165" i="33"/>
  <c r="H165" i="33"/>
  <c r="E165" i="33"/>
  <c r="D166" i="33" s="1"/>
  <c r="J164" i="33"/>
  <c r="H164" i="33"/>
  <c r="E164" i="33"/>
  <c r="D165" i="33" s="1"/>
  <c r="J163" i="33"/>
  <c r="H163" i="33"/>
  <c r="E163" i="33"/>
  <c r="D164" i="33" s="1"/>
  <c r="J162" i="33"/>
  <c r="H162" i="33"/>
  <c r="E162" i="33"/>
  <c r="D163" i="33" s="1"/>
  <c r="J161" i="33"/>
  <c r="H161" i="33"/>
  <c r="E161" i="33"/>
  <c r="D162" i="33" s="1"/>
  <c r="J160" i="33"/>
  <c r="H160" i="33"/>
  <c r="E160" i="33"/>
  <c r="D161" i="33" s="1"/>
  <c r="J159" i="33"/>
  <c r="H159" i="33"/>
  <c r="E159" i="33"/>
  <c r="D160" i="33" s="1"/>
  <c r="J158" i="33"/>
  <c r="H158" i="33"/>
  <c r="E158" i="33"/>
  <c r="D159" i="33" s="1"/>
  <c r="J157" i="33"/>
  <c r="H157" i="33"/>
  <c r="E157" i="33"/>
  <c r="D158" i="33" s="1"/>
  <c r="J156" i="33"/>
  <c r="H156" i="33"/>
  <c r="E156" i="33"/>
  <c r="D157" i="33" s="1"/>
  <c r="J155" i="33"/>
  <c r="H155" i="33"/>
  <c r="E155" i="33"/>
  <c r="D156" i="33" s="1"/>
  <c r="J154" i="33"/>
  <c r="H154" i="33"/>
  <c r="E154" i="33"/>
  <c r="D155" i="33" s="1"/>
  <c r="J153" i="33"/>
  <c r="H153" i="33"/>
  <c r="E153" i="33"/>
  <c r="D154" i="33" s="1"/>
  <c r="J152" i="33"/>
  <c r="H152" i="33"/>
  <c r="E152" i="33"/>
  <c r="D153" i="33" s="1"/>
  <c r="J151" i="33"/>
  <c r="H151" i="33"/>
  <c r="E151" i="33"/>
  <c r="D152" i="33" s="1"/>
  <c r="J150" i="33"/>
  <c r="H150" i="33"/>
  <c r="E150" i="33"/>
  <c r="D151" i="33" s="1"/>
  <c r="J149" i="33"/>
  <c r="H149" i="33"/>
  <c r="E149" i="33"/>
  <c r="D150" i="33" s="1"/>
  <c r="J148" i="33"/>
  <c r="H148" i="33"/>
  <c r="E148" i="33"/>
  <c r="D149" i="33" s="1"/>
  <c r="J147" i="33"/>
  <c r="H147" i="33"/>
  <c r="E147" i="33"/>
  <c r="D148" i="33" s="1"/>
  <c r="J146" i="33"/>
  <c r="H146" i="33"/>
  <c r="E146" i="33"/>
  <c r="D147" i="33" s="1"/>
  <c r="J145" i="33"/>
  <c r="H145" i="33"/>
  <c r="E145" i="33"/>
  <c r="D146" i="33" s="1"/>
  <c r="J144" i="33"/>
  <c r="H144" i="33"/>
  <c r="E144" i="33"/>
  <c r="D145" i="33" s="1"/>
  <c r="J143" i="33"/>
  <c r="H143" i="33"/>
  <c r="E143" i="33"/>
  <c r="D144" i="33" s="1"/>
  <c r="J142" i="33"/>
  <c r="H142" i="33"/>
  <c r="E142" i="33"/>
  <c r="D143" i="33" s="1"/>
  <c r="E141" i="33"/>
  <c r="D142" i="33" s="1"/>
  <c r="J137" i="33" l="1"/>
  <c r="G12" i="29"/>
  <c r="F12" i="29" s="1"/>
  <c r="I137" i="33"/>
  <c r="G140" i="33" s="1"/>
  <c r="D38" i="29" l="1"/>
  <c r="K140" i="33"/>
  <c r="I140" i="33"/>
  <c r="D351" i="33"/>
  <c r="I351" i="33" s="1"/>
  <c r="F140" i="33"/>
  <c r="C141" i="33" s="1"/>
  <c r="G141" i="33" s="1"/>
  <c r="E354" i="33"/>
  <c r="D355" i="33" s="1"/>
  <c r="D42" i="29"/>
  <c r="D41" i="29"/>
  <c r="K141" i="33" l="1"/>
  <c r="I141" i="33"/>
  <c r="F141" i="33"/>
  <c r="C142" i="33" s="1"/>
  <c r="G142" i="33" s="1"/>
  <c r="K351" i="33"/>
  <c r="J351" i="33"/>
  <c r="K142" i="33" l="1"/>
  <c r="I142" i="33"/>
  <c r="F354" i="33"/>
  <c r="C355" i="33" s="1"/>
  <c r="F355" i="33" s="1"/>
  <c r="C356" i="33" s="1"/>
  <c r="F142" i="33"/>
  <c r="C143" i="33" s="1"/>
  <c r="G143" i="33" s="1"/>
  <c r="G354" i="33"/>
  <c r="K354" i="33" l="1"/>
  <c r="I354" i="33"/>
  <c r="K143" i="33"/>
  <c r="I143" i="33"/>
  <c r="G355" i="33"/>
  <c r="F143" i="33"/>
  <c r="C144" i="33" s="1"/>
  <c r="G144" i="33" s="1"/>
  <c r="G356" i="33"/>
  <c r="F356" i="33"/>
  <c r="C357" i="33" s="1"/>
  <c r="K144" i="33" l="1"/>
  <c r="I144" i="33"/>
  <c r="K355" i="33"/>
  <c r="I355" i="33"/>
  <c r="K356" i="33"/>
  <c r="I356" i="33"/>
  <c r="F144" i="33"/>
  <c r="C145" i="33" s="1"/>
  <c r="F145" i="33" s="1"/>
  <c r="C146" i="33" s="1"/>
  <c r="G357" i="33"/>
  <c r="F357" i="33"/>
  <c r="C358" i="33" s="1"/>
  <c r="E50" i="33"/>
  <c r="D51" i="33" s="1"/>
  <c r="K357" i="33" l="1"/>
  <c r="I357" i="33"/>
  <c r="G145" i="33"/>
  <c r="G358" i="33"/>
  <c r="F358" i="33"/>
  <c r="C359" i="33" s="1"/>
  <c r="G146" i="33"/>
  <c r="F146" i="33"/>
  <c r="C147" i="33" s="1"/>
  <c r="F41" i="29"/>
  <c r="K358" i="33" l="1"/>
  <c r="I358" i="33"/>
  <c r="K145" i="33"/>
  <c r="I145" i="33"/>
  <c r="K146" i="33"/>
  <c r="I146" i="33"/>
  <c r="G359" i="33"/>
  <c r="F359" i="33"/>
  <c r="C360" i="33" s="1"/>
  <c r="G147" i="33"/>
  <c r="F147" i="33"/>
  <c r="C148" i="33" s="1"/>
  <c r="K147" i="33" l="1"/>
  <c r="I147" i="33"/>
  <c r="K359" i="33"/>
  <c r="I359" i="33"/>
  <c r="G360" i="33"/>
  <c r="F360" i="33"/>
  <c r="C361" i="33" s="1"/>
  <c r="G148" i="33"/>
  <c r="F148" i="33"/>
  <c r="C149" i="33" s="1"/>
  <c r="H132" i="33"/>
  <c r="E132" i="33"/>
  <c r="H131" i="33"/>
  <c r="E131" i="33"/>
  <c r="D132" i="33" s="1"/>
  <c r="H130" i="33"/>
  <c r="E130" i="33"/>
  <c r="D131" i="33" s="1"/>
  <c r="H129" i="33"/>
  <c r="E129" i="33"/>
  <c r="D130" i="33" s="1"/>
  <c r="H128" i="33"/>
  <c r="E128" i="33"/>
  <c r="D129" i="33" s="1"/>
  <c r="H127" i="33"/>
  <c r="E127" i="33"/>
  <c r="D128" i="33" s="1"/>
  <c r="H126" i="33"/>
  <c r="E126" i="33"/>
  <c r="D127" i="33" s="1"/>
  <c r="H125" i="33"/>
  <c r="E125" i="33"/>
  <c r="D126" i="33" s="1"/>
  <c r="H124" i="33"/>
  <c r="E124" i="33"/>
  <c r="D125" i="33" s="1"/>
  <c r="H123" i="33"/>
  <c r="E123" i="33"/>
  <c r="D124" i="33" s="1"/>
  <c r="H122" i="33"/>
  <c r="E122" i="33"/>
  <c r="D123" i="33" s="1"/>
  <c r="H121" i="33"/>
  <c r="E121" i="33"/>
  <c r="D122" i="33" s="1"/>
  <c r="H120" i="33"/>
  <c r="E120" i="33"/>
  <c r="D121" i="33" s="1"/>
  <c r="H119" i="33"/>
  <c r="E119" i="33"/>
  <c r="D120" i="33" s="1"/>
  <c r="H118" i="33"/>
  <c r="E118" i="33"/>
  <c r="D119" i="33" s="1"/>
  <c r="H117" i="33"/>
  <c r="E117" i="33"/>
  <c r="D118" i="33" s="1"/>
  <c r="H116" i="33"/>
  <c r="E116" i="33"/>
  <c r="D117" i="33" s="1"/>
  <c r="H115" i="33"/>
  <c r="E115" i="33"/>
  <c r="D116" i="33" s="1"/>
  <c r="H114" i="33"/>
  <c r="E114" i="33"/>
  <c r="D115" i="33" s="1"/>
  <c r="H113" i="33"/>
  <c r="E113" i="33"/>
  <c r="D114" i="33" s="1"/>
  <c r="H112" i="33"/>
  <c r="E112" i="33"/>
  <c r="D113" i="33" s="1"/>
  <c r="H111" i="33"/>
  <c r="E111" i="33"/>
  <c r="D112" i="33" s="1"/>
  <c r="H110" i="33"/>
  <c r="E110" i="33"/>
  <c r="D111" i="33" s="1"/>
  <c r="H109" i="33"/>
  <c r="E109" i="33"/>
  <c r="D110" i="33" s="1"/>
  <c r="H108" i="33"/>
  <c r="E108" i="33"/>
  <c r="D109" i="33" s="1"/>
  <c r="H107" i="33"/>
  <c r="E107" i="33"/>
  <c r="D108" i="33" s="1"/>
  <c r="H106" i="33"/>
  <c r="E106" i="33"/>
  <c r="D107" i="33" s="1"/>
  <c r="H105" i="33"/>
  <c r="E105" i="33"/>
  <c r="D106" i="33" s="1"/>
  <c r="H104" i="33"/>
  <c r="E104" i="33"/>
  <c r="D105" i="33" s="1"/>
  <c r="H103" i="33"/>
  <c r="E103" i="33"/>
  <c r="D104" i="33" s="1"/>
  <c r="H102" i="33"/>
  <c r="E102" i="33"/>
  <c r="D103" i="33" s="1"/>
  <c r="H101" i="33"/>
  <c r="E101" i="33"/>
  <c r="D102" i="33" s="1"/>
  <c r="H100" i="33"/>
  <c r="E100" i="33"/>
  <c r="D101" i="33" s="1"/>
  <c r="H99" i="33"/>
  <c r="E99" i="33"/>
  <c r="D100" i="33" s="1"/>
  <c r="H98" i="33"/>
  <c r="E98" i="33"/>
  <c r="D99" i="33" s="1"/>
  <c r="H97" i="33"/>
  <c r="E97" i="33"/>
  <c r="D98" i="33" s="1"/>
  <c r="H96" i="33"/>
  <c r="E96" i="33"/>
  <c r="D97" i="33" s="1"/>
  <c r="H95" i="33"/>
  <c r="E95" i="33"/>
  <c r="D96" i="33" s="1"/>
  <c r="H94" i="33"/>
  <c r="E94" i="33"/>
  <c r="D95" i="33" s="1"/>
  <c r="H93" i="33"/>
  <c r="E93" i="33"/>
  <c r="D94" i="33" s="1"/>
  <c r="J92" i="33"/>
  <c r="H92" i="33"/>
  <c r="E92" i="33"/>
  <c r="D93" i="33" s="1"/>
  <c r="J91" i="33"/>
  <c r="H91" i="33"/>
  <c r="E91" i="33"/>
  <c r="D92" i="33" s="1"/>
  <c r="J90" i="33"/>
  <c r="H90" i="33"/>
  <c r="E90" i="33"/>
  <c r="D91" i="33" s="1"/>
  <c r="J89" i="33"/>
  <c r="H89" i="33"/>
  <c r="E89" i="33"/>
  <c r="D90" i="33" s="1"/>
  <c r="J88" i="33"/>
  <c r="H88" i="33"/>
  <c r="E88" i="33"/>
  <c r="D89" i="33" s="1"/>
  <c r="J87" i="33"/>
  <c r="H87" i="33"/>
  <c r="E87" i="33"/>
  <c r="D88" i="33" s="1"/>
  <c r="J86" i="33"/>
  <c r="H86" i="33"/>
  <c r="E86" i="33"/>
  <c r="D87" i="33" s="1"/>
  <c r="J85" i="33"/>
  <c r="H85" i="33"/>
  <c r="E85" i="33"/>
  <c r="D86" i="33" s="1"/>
  <c r="J84" i="33"/>
  <c r="H84" i="33"/>
  <c r="E84" i="33"/>
  <c r="D85" i="33" s="1"/>
  <c r="J83" i="33"/>
  <c r="H83" i="33"/>
  <c r="E83" i="33"/>
  <c r="D84" i="33" s="1"/>
  <c r="J82" i="33"/>
  <c r="H82" i="33"/>
  <c r="E82" i="33"/>
  <c r="D83" i="33" s="1"/>
  <c r="J81" i="33"/>
  <c r="H81" i="33"/>
  <c r="E81" i="33"/>
  <c r="D82" i="33" s="1"/>
  <c r="J80" i="33"/>
  <c r="H80" i="33"/>
  <c r="E80" i="33"/>
  <c r="D81" i="33" s="1"/>
  <c r="J79" i="33"/>
  <c r="H79" i="33"/>
  <c r="E79" i="33"/>
  <c r="D80" i="33" s="1"/>
  <c r="J78" i="33"/>
  <c r="H78" i="33"/>
  <c r="E78" i="33"/>
  <c r="D79" i="33" s="1"/>
  <c r="J77" i="33"/>
  <c r="H77" i="33"/>
  <c r="E77" i="33"/>
  <c r="D78" i="33" s="1"/>
  <c r="J76" i="33"/>
  <c r="H76" i="33"/>
  <c r="E76" i="33"/>
  <c r="D77" i="33" s="1"/>
  <c r="J75" i="33"/>
  <c r="H75" i="33"/>
  <c r="E75" i="33"/>
  <c r="D76" i="33" s="1"/>
  <c r="J74" i="33"/>
  <c r="H74" i="33"/>
  <c r="E74" i="33"/>
  <c r="D75" i="33" s="1"/>
  <c r="J73" i="33"/>
  <c r="H73" i="33"/>
  <c r="E73" i="33"/>
  <c r="D74" i="33" s="1"/>
  <c r="J72" i="33"/>
  <c r="H72" i="33"/>
  <c r="E72" i="33"/>
  <c r="D73" i="33" s="1"/>
  <c r="J71" i="33"/>
  <c r="H71" i="33"/>
  <c r="E71" i="33"/>
  <c r="D72" i="33" s="1"/>
  <c r="J70" i="33"/>
  <c r="H70" i="33"/>
  <c r="E70" i="33"/>
  <c r="D71" i="33" s="1"/>
  <c r="J69" i="33"/>
  <c r="H69" i="33"/>
  <c r="E69" i="33"/>
  <c r="D70" i="33" s="1"/>
  <c r="J68" i="33"/>
  <c r="H68" i="33"/>
  <c r="E68" i="33"/>
  <c r="D69" i="33" s="1"/>
  <c r="J67" i="33"/>
  <c r="H67" i="33"/>
  <c r="E67" i="33"/>
  <c r="D68" i="33" s="1"/>
  <c r="J66" i="33"/>
  <c r="H66" i="33"/>
  <c r="E66" i="33"/>
  <c r="D67" i="33" s="1"/>
  <c r="J65" i="33"/>
  <c r="H65" i="33"/>
  <c r="E65" i="33"/>
  <c r="D66" i="33" s="1"/>
  <c r="J64" i="33"/>
  <c r="H64" i="33"/>
  <c r="E64" i="33"/>
  <c r="D65" i="33" s="1"/>
  <c r="J63" i="33"/>
  <c r="H63" i="33"/>
  <c r="E63" i="33"/>
  <c r="D64" i="33" s="1"/>
  <c r="J62" i="33"/>
  <c r="H62" i="33"/>
  <c r="E62" i="33"/>
  <c r="D63" i="33" s="1"/>
  <c r="J61" i="33"/>
  <c r="H61" i="33"/>
  <c r="E61" i="33"/>
  <c r="D62" i="33" s="1"/>
  <c r="J60" i="33"/>
  <c r="H60" i="33"/>
  <c r="E60" i="33"/>
  <c r="D61" i="33" s="1"/>
  <c r="J59" i="33"/>
  <c r="H59" i="33"/>
  <c r="E59" i="33"/>
  <c r="D60" i="33" s="1"/>
  <c r="J58" i="33"/>
  <c r="H58" i="33"/>
  <c r="E58" i="33"/>
  <c r="D59" i="33" s="1"/>
  <c r="J57" i="33"/>
  <c r="H57" i="33"/>
  <c r="E57" i="33"/>
  <c r="D58" i="33" s="1"/>
  <c r="J56" i="33"/>
  <c r="H56" i="33"/>
  <c r="E56" i="33"/>
  <c r="D57" i="33" s="1"/>
  <c r="J55" i="33"/>
  <c r="H55" i="33"/>
  <c r="E55" i="33"/>
  <c r="D56" i="33" s="1"/>
  <c r="J54" i="33"/>
  <c r="H54" i="33"/>
  <c r="E54" i="33"/>
  <c r="D55" i="33" s="1"/>
  <c r="J53" i="33"/>
  <c r="H53" i="33"/>
  <c r="E53" i="33"/>
  <c r="D54" i="33" s="1"/>
  <c r="J52" i="33"/>
  <c r="H52" i="33"/>
  <c r="E52" i="33"/>
  <c r="D53" i="33" s="1"/>
  <c r="J51" i="33"/>
  <c r="H51" i="33"/>
  <c r="E51" i="33"/>
  <c r="D52" i="33" s="1"/>
  <c r="J50" i="33"/>
  <c r="H50" i="33"/>
  <c r="J49" i="33"/>
  <c r="H49" i="33"/>
  <c r="E49" i="33"/>
  <c r="D50" i="33" s="1"/>
  <c r="J48" i="33"/>
  <c r="H48" i="33"/>
  <c r="E48" i="33"/>
  <c r="D49" i="33" s="1"/>
  <c r="J47" i="33"/>
  <c r="H47" i="33"/>
  <c r="E47" i="33"/>
  <c r="D48" i="33" s="1"/>
  <c r="J46" i="33"/>
  <c r="H46" i="33"/>
  <c r="E46" i="33"/>
  <c r="D47" i="33" s="1"/>
  <c r="J45" i="33"/>
  <c r="H45" i="33"/>
  <c r="E45" i="33"/>
  <c r="D46" i="33" s="1"/>
  <c r="J44" i="33"/>
  <c r="H44" i="33"/>
  <c r="E44" i="33"/>
  <c r="D45" i="33" s="1"/>
  <c r="J43" i="33"/>
  <c r="H43" i="33"/>
  <c r="E43" i="33"/>
  <c r="D44" i="33" s="1"/>
  <c r="J42" i="33"/>
  <c r="H42" i="33"/>
  <c r="E42" i="33"/>
  <c r="D43" i="33" s="1"/>
  <c r="J41" i="33"/>
  <c r="H41" i="33"/>
  <c r="E41" i="33"/>
  <c r="D42" i="33" s="1"/>
  <c r="J40" i="33"/>
  <c r="H40" i="33"/>
  <c r="E40" i="33"/>
  <c r="D41" i="33" s="1"/>
  <c r="J39" i="33"/>
  <c r="H39" i="33"/>
  <c r="E39" i="33"/>
  <c r="D40" i="33" s="1"/>
  <c r="J38" i="33"/>
  <c r="H38" i="33"/>
  <c r="E38" i="33"/>
  <c r="D39" i="33" s="1"/>
  <c r="J37" i="33"/>
  <c r="H37" i="33"/>
  <c r="E37" i="33"/>
  <c r="D38" i="33" s="1"/>
  <c r="J36" i="33"/>
  <c r="H36" i="33"/>
  <c r="E36" i="33"/>
  <c r="D37" i="33" s="1"/>
  <c r="J35" i="33"/>
  <c r="H35" i="33"/>
  <c r="E35" i="33"/>
  <c r="D36" i="33" s="1"/>
  <c r="E34" i="33"/>
  <c r="D35" i="33" s="1"/>
  <c r="K360" i="33" l="1"/>
  <c r="I360" i="33"/>
  <c r="K148" i="33"/>
  <c r="I148" i="33"/>
  <c r="C244" i="33"/>
  <c r="E247" i="33" s="1"/>
  <c r="D248" i="33" s="1"/>
  <c r="D244" i="33"/>
  <c r="G361" i="33"/>
  <c r="F361" i="33"/>
  <c r="C362" i="33" s="1"/>
  <c r="G149" i="33"/>
  <c r="F149" i="33"/>
  <c r="C150" i="33" s="1"/>
  <c r="K149" i="33" l="1"/>
  <c r="I149" i="33"/>
  <c r="K361" i="33"/>
  <c r="I361" i="33"/>
  <c r="J30" i="33"/>
  <c r="I30" i="33"/>
  <c r="K244" i="33"/>
  <c r="I244" i="33"/>
  <c r="J244" i="33"/>
  <c r="G362" i="33"/>
  <c r="F362" i="33"/>
  <c r="C363" i="33" s="1"/>
  <c r="G150" i="33"/>
  <c r="F150" i="33"/>
  <c r="C151" i="33" s="1"/>
  <c r="K150" i="33" l="1"/>
  <c r="I150" i="33"/>
  <c r="K362" i="33"/>
  <c r="I362" i="33"/>
  <c r="F247" i="33"/>
  <c r="C248" i="33" s="1"/>
  <c r="G247" i="33"/>
  <c r="F363" i="33"/>
  <c r="C364" i="33" s="1"/>
  <c r="G363" i="33"/>
  <c r="F151" i="33"/>
  <c r="C152" i="33" s="1"/>
  <c r="G151" i="33"/>
  <c r="K30" i="33"/>
  <c r="K151" i="33" l="1"/>
  <c r="I151" i="33"/>
  <c r="K247" i="33"/>
  <c r="I247" i="33"/>
  <c r="K363" i="33"/>
  <c r="I363" i="33"/>
  <c r="G248" i="33"/>
  <c r="F248" i="33"/>
  <c r="C249" i="33" s="1"/>
  <c r="G364" i="33"/>
  <c r="F364" i="33"/>
  <c r="C365" i="33" s="1"/>
  <c r="G152" i="33"/>
  <c r="F152" i="33"/>
  <c r="C153" i="33" s="1"/>
  <c r="K152" i="33" l="1"/>
  <c r="I152" i="33"/>
  <c r="K364" i="33"/>
  <c r="I364" i="33"/>
  <c r="K248" i="33"/>
  <c r="I248" i="33"/>
  <c r="G249" i="33"/>
  <c r="F249" i="33"/>
  <c r="C250" i="33" s="1"/>
  <c r="F365" i="33"/>
  <c r="C366" i="33" s="1"/>
  <c r="G365" i="33"/>
  <c r="G153" i="33"/>
  <c r="F153" i="33"/>
  <c r="C154" i="33" s="1"/>
  <c r="D49" i="29"/>
  <c r="G11" i="29"/>
  <c r="F11" i="29" s="1"/>
  <c r="K153" i="33" l="1"/>
  <c r="I153" i="33"/>
  <c r="K365" i="33"/>
  <c r="I365" i="33"/>
  <c r="K249" i="33"/>
  <c r="I249" i="33"/>
  <c r="G250" i="33"/>
  <c r="F250" i="33"/>
  <c r="C251" i="33" s="1"/>
  <c r="F366" i="33"/>
  <c r="C367" i="33" s="1"/>
  <c r="G366" i="33"/>
  <c r="G154" i="33"/>
  <c r="F154" i="33"/>
  <c r="C155" i="33" s="1"/>
  <c r="D40" i="29"/>
  <c r="D39" i="29"/>
  <c r="K154" i="33" l="1"/>
  <c r="I154" i="33"/>
  <c r="K366" i="33"/>
  <c r="I366" i="33"/>
  <c r="K250" i="33"/>
  <c r="I250" i="33"/>
  <c r="F251" i="33"/>
  <c r="C252" i="33" s="1"/>
  <c r="G251" i="33"/>
  <c r="G367" i="33"/>
  <c r="F367" i="33"/>
  <c r="C368" i="33" s="1"/>
  <c r="F155" i="33"/>
  <c r="C156" i="33" s="1"/>
  <c r="G155" i="33"/>
  <c r="F35" i="29"/>
  <c r="K155" i="33" l="1"/>
  <c r="I155" i="33"/>
  <c r="K251" i="33"/>
  <c r="I251" i="33"/>
  <c r="K367" i="33"/>
  <c r="I367" i="33"/>
  <c r="F252" i="33"/>
  <c r="C253" i="33" s="1"/>
  <c r="G252" i="33"/>
  <c r="F368" i="33"/>
  <c r="C369" i="33" s="1"/>
  <c r="G368" i="33"/>
  <c r="F156" i="33"/>
  <c r="C157" i="33" s="1"/>
  <c r="G156" i="33"/>
  <c r="F34" i="29"/>
  <c r="D31" i="29"/>
  <c r="K156" i="33" l="1"/>
  <c r="I156" i="33"/>
  <c r="K252" i="33"/>
  <c r="I252" i="33"/>
  <c r="K368" i="33"/>
  <c r="I368" i="33"/>
  <c r="G253" i="33"/>
  <c r="F253" i="33"/>
  <c r="C254" i="33" s="1"/>
  <c r="G369" i="33"/>
  <c r="F369" i="33"/>
  <c r="C370" i="33" s="1"/>
  <c r="G157" i="33"/>
  <c r="F157" i="33"/>
  <c r="C158" i="33" s="1"/>
  <c r="K157" i="33" l="1"/>
  <c r="I157" i="33"/>
  <c r="K369" i="33"/>
  <c r="I369" i="33"/>
  <c r="K253" i="33"/>
  <c r="I253" i="33"/>
  <c r="F254" i="33"/>
  <c r="C255" i="33" s="1"/>
  <c r="G254" i="33"/>
  <c r="F370" i="33"/>
  <c r="C371" i="33" s="1"/>
  <c r="G370" i="33"/>
  <c r="G158" i="33"/>
  <c r="F158" i="33"/>
  <c r="C159" i="33" s="1"/>
  <c r="K158" i="33" l="1"/>
  <c r="I158" i="33"/>
  <c r="K370" i="33"/>
  <c r="I370" i="33"/>
  <c r="K254" i="33"/>
  <c r="I254" i="33"/>
  <c r="G255" i="33"/>
  <c r="F255" i="33"/>
  <c r="C256" i="33" s="1"/>
  <c r="F371" i="33"/>
  <c r="C372" i="33" s="1"/>
  <c r="G371" i="33"/>
  <c r="F159" i="33"/>
  <c r="C160" i="33" s="1"/>
  <c r="G159" i="33"/>
  <c r="C13" i="29"/>
  <c r="C12" i="29"/>
  <c r="C10" i="29"/>
  <c r="C38" i="29"/>
  <c r="C35" i="29"/>
  <c r="K159" i="33" l="1"/>
  <c r="I159" i="33"/>
  <c r="K371" i="33"/>
  <c r="I371" i="33"/>
  <c r="K255" i="33"/>
  <c r="I255" i="33"/>
  <c r="G256" i="33"/>
  <c r="F256" i="33"/>
  <c r="C257" i="33" s="1"/>
  <c r="F372" i="33"/>
  <c r="C373" i="33" s="1"/>
  <c r="G372" i="33"/>
  <c r="F160" i="33"/>
  <c r="C161" i="33" s="1"/>
  <c r="G160" i="33"/>
  <c r="K160" i="33" l="1"/>
  <c r="I160" i="33"/>
  <c r="K372" i="33"/>
  <c r="I372" i="33"/>
  <c r="K256" i="33"/>
  <c r="I256" i="33"/>
  <c r="F257" i="33"/>
  <c r="C258" i="33" s="1"/>
  <c r="G257" i="33"/>
  <c r="F373" i="33"/>
  <c r="C374" i="33" s="1"/>
  <c r="G373" i="33"/>
  <c r="G161" i="33"/>
  <c r="F161" i="33"/>
  <c r="C162" i="33" s="1"/>
  <c r="D35" i="29"/>
  <c r="K373" i="33" l="1"/>
  <c r="I373" i="33"/>
  <c r="K161" i="33"/>
  <c r="I161" i="33"/>
  <c r="K257" i="33"/>
  <c r="I257" i="33"/>
  <c r="G258" i="33"/>
  <c r="F258" i="33"/>
  <c r="C259" i="33" s="1"/>
  <c r="F374" i="33"/>
  <c r="C375" i="33" s="1"/>
  <c r="G374" i="33"/>
  <c r="G162" i="33"/>
  <c r="F162" i="33"/>
  <c r="C163" i="33" s="1"/>
  <c r="H35" i="29"/>
  <c r="K162" i="33" l="1"/>
  <c r="I162" i="33"/>
  <c r="K374" i="33"/>
  <c r="I374" i="33"/>
  <c r="K258" i="33"/>
  <c r="I258" i="33"/>
  <c r="F259" i="33"/>
  <c r="C260" i="33" s="1"/>
  <c r="G259" i="33"/>
  <c r="F375" i="33"/>
  <c r="C376" i="33" s="1"/>
  <c r="G375" i="33"/>
  <c r="F163" i="33"/>
  <c r="C164" i="33" s="1"/>
  <c r="G163" i="33"/>
  <c r="K163" i="33" l="1"/>
  <c r="I163" i="33"/>
  <c r="K375" i="33"/>
  <c r="I375" i="33"/>
  <c r="K259" i="33"/>
  <c r="I259" i="33"/>
  <c r="F260" i="33"/>
  <c r="C261" i="33" s="1"/>
  <c r="G260" i="33"/>
  <c r="G376" i="33"/>
  <c r="F376" i="33"/>
  <c r="C377" i="33" s="1"/>
  <c r="F164" i="33"/>
  <c r="C165" i="33" s="1"/>
  <c r="G164" i="33"/>
  <c r="K164" i="33" l="1"/>
  <c r="I164" i="33"/>
  <c r="K376" i="33"/>
  <c r="I376" i="33"/>
  <c r="K260" i="33"/>
  <c r="I260" i="33"/>
  <c r="G261" i="33"/>
  <c r="F261" i="33"/>
  <c r="C262" i="33" s="1"/>
  <c r="F377" i="33"/>
  <c r="C378" i="33" s="1"/>
  <c r="G377" i="33"/>
  <c r="G165" i="33"/>
  <c r="F165" i="33"/>
  <c r="C166" i="33" s="1"/>
  <c r="F38" i="29"/>
  <c r="C32" i="29"/>
  <c r="K165" i="33" l="1"/>
  <c r="I165" i="33"/>
  <c r="K377" i="33"/>
  <c r="I377" i="33"/>
  <c r="K261" i="33"/>
  <c r="I261" i="33"/>
  <c r="G262" i="33"/>
  <c r="F262" i="33"/>
  <c r="C263" i="33" s="1"/>
  <c r="F378" i="33"/>
  <c r="C379" i="33" s="1"/>
  <c r="G378" i="33"/>
  <c r="G166" i="33"/>
  <c r="F166" i="33"/>
  <c r="C167" i="33" s="1"/>
  <c r="H38" i="29"/>
  <c r="K378" i="33" l="1"/>
  <c r="I378" i="33"/>
  <c r="K166" i="33"/>
  <c r="I166" i="33"/>
  <c r="I262" i="33"/>
  <c r="K262" i="33"/>
  <c r="F263" i="33"/>
  <c r="C264" i="33" s="1"/>
  <c r="G263" i="33"/>
  <c r="G379" i="33"/>
  <c r="F379" i="33"/>
  <c r="C380" i="33" s="1"/>
  <c r="F167" i="33"/>
  <c r="C168" i="33" s="1"/>
  <c r="G167" i="33"/>
  <c r="K167" i="33" l="1"/>
  <c r="I167" i="33"/>
  <c r="K379" i="33"/>
  <c r="I379" i="33"/>
  <c r="K263" i="33"/>
  <c r="I263" i="33"/>
  <c r="G264" i="33"/>
  <c r="F264" i="33"/>
  <c r="C265" i="33" s="1"/>
  <c r="G380" i="33"/>
  <c r="F380" i="33"/>
  <c r="C381" i="33" s="1"/>
  <c r="F168" i="33"/>
  <c r="C169" i="33" s="1"/>
  <c r="G168" i="33"/>
  <c r="K380" i="33" l="1"/>
  <c r="I380" i="33"/>
  <c r="K168" i="33"/>
  <c r="I168" i="33"/>
  <c r="K264" i="33"/>
  <c r="I264" i="33"/>
  <c r="G265" i="33"/>
  <c r="F265" i="33"/>
  <c r="C266" i="33" s="1"/>
  <c r="F381" i="33"/>
  <c r="C382" i="33" s="1"/>
  <c r="G381" i="33"/>
  <c r="G169" i="33"/>
  <c r="F169" i="33"/>
  <c r="C170" i="33" s="1"/>
  <c r="K169" i="33" l="1"/>
  <c r="I169" i="33"/>
  <c r="K265" i="33"/>
  <c r="I265" i="33"/>
  <c r="K381" i="33"/>
  <c r="I381" i="33"/>
  <c r="G266" i="33"/>
  <c r="F266" i="33"/>
  <c r="C267" i="33" s="1"/>
  <c r="F382" i="33"/>
  <c r="C383" i="33" s="1"/>
  <c r="G382" i="33"/>
  <c r="G170" i="33"/>
  <c r="F170" i="33"/>
  <c r="C171" i="33" s="1"/>
  <c r="K170" i="33" l="1"/>
  <c r="I170" i="33"/>
  <c r="K382" i="33"/>
  <c r="I382" i="33"/>
  <c r="I266" i="33"/>
  <c r="K266" i="33"/>
  <c r="F267" i="33"/>
  <c r="C268" i="33" s="1"/>
  <c r="G267" i="33"/>
  <c r="F383" i="33"/>
  <c r="C384" i="33" s="1"/>
  <c r="G383" i="33"/>
  <c r="F171" i="33"/>
  <c r="C172" i="33" s="1"/>
  <c r="G171" i="33"/>
  <c r="K171" i="33" l="1"/>
  <c r="I171" i="33"/>
  <c r="K383" i="33"/>
  <c r="I383" i="33"/>
  <c r="K267" i="33"/>
  <c r="I267" i="33"/>
  <c r="F268" i="33"/>
  <c r="C269" i="33" s="1"/>
  <c r="G268" i="33"/>
  <c r="G384" i="33"/>
  <c r="F384" i="33"/>
  <c r="C385" i="33" s="1"/>
  <c r="F172" i="33"/>
  <c r="C173" i="33" s="1"/>
  <c r="G172" i="33"/>
  <c r="K172" i="33" l="1"/>
  <c r="I172" i="33"/>
  <c r="K384" i="33"/>
  <c r="I384" i="33"/>
  <c r="K268" i="33"/>
  <c r="I268" i="33"/>
  <c r="G269" i="33"/>
  <c r="F269" i="33"/>
  <c r="C270" i="33" s="1"/>
  <c r="G385" i="33"/>
  <c r="F385" i="33"/>
  <c r="C386" i="33" s="1"/>
  <c r="G173" i="33"/>
  <c r="F173" i="33"/>
  <c r="C174" i="33" s="1"/>
  <c r="D34" i="29"/>
  <c r="H34" i="29" s="1"/>
  <c r="K173" i="33" l="1"/>
  <c r="I173" i="33"/>
  <c r="K385" i="33"/>
  <c r="I385" i="33"/>
  <c r="K269" i="33"/>
  <c r="I269" i="33"/>
  <c r="G270" i="33"/>
  <c r="F270" i="33"/>
  <c r="C271" i="33" s="1"/>
  <c r="F386" i="33"/>
  <c r="C387" i="33" s="1"/>
  <c r="G386" i="33"/>
  <c r="G174" i="33"/>
  <c r="F174" i="33"/>
  <c r="C175" i="33" s="1"/>
  <c r="H41" i="29"/>
  <c r="K174" i="33" l="1"/>
  <c r="I174" i="33"/>
  <c r="K386" i="33"/>
  <c r="I386" i="33"/>
  <c r="K270" i="33"/>
  <c r="I270" i="33"/>
  <c r="F271" i="33"/>
  <c r="C272" i="33" s="1"/>
  <c r="G271" i="33"/>
  <c r="F387" i="33"/>
  <c r="C388" i="33" s="1"/>
  <c r="G387" i="33"/>
  <c r="F175" i="33"/>
  <c r="C176" i="33" s="1"/>
  <c r="G175" i="33"/>
  <c r="K387" i="33" l="1"/>
  <c r="I387" i="33"/>
  <c r="K175" i="33"/>
  <c r="I175" i="33"/>
  <c r="K271" i="33"/>
  <c r="I271" i="33"/>
  <c r="G272" i="33"/>
  <c r="F272" i="33"/>
  <c r="C273" i="33" s="1"/>
  <c r="G388" i="33"/>
  <c r="F388" i="33"/>
  <c r="C389" i="33" s="1"/>
  <c r="F176" i="33"/>
  <c r="C177" i="33" s="1"/>
  <c r="G176" i="33"/>
  <c r="K176" i="33" l="1"/>
  <c r="I176" i="33"/>
  <c r="K388" i="33"/>
  <c r="I388" i="33"/>
  <c r="K272" i="33"/>
  <c r="I272" i="33"/>
  <c r="G273" i="33"/>
  <c r="F273" i="33"/>
  <c r="C274" i="33" s="1"/>
  <c r="G389" i="33"/>
  <c r="F389" i="33"/>
  <c r="C390" i="33" s="1"/>
  <c r="G177" i="33"/>
  <c r="F177" i="33"/>
  <c r="C178" i="33" s="1"/>
  <c r="D37" i="29"/>
  <c r="D36" i="29"/>
  <c r="K177" i="33" l="1"/>
  <c r="I177" i="33"/>
  <c r="K389" i="33"/>
  <c r="I389" i="33"/>
  <c r="K273" i="33"/>
  <c r="I273" i="33"/>
  <c r="G274" i="33"/>
  <c r="F274" i="33"/>
  <c r="C275" i="33" s="1"/>
  <c r="F390" i="33"/>
  <c r="C391" i="33" s="1"/>
  <c r="G390" i="33"/>
  <c r="G178" i="33"/>
  <c r="F178" i="33"/>
  <c r="C179" i="33" s="1"/>
  <c r="K178" i="33" l="1"/>
  <c r="I178" i="33"/>
  <c r="K390" i="33"/>
  <c r="I390" i="33"/>
  <c r="I274" i="33"/>
  <c r="K274" i="33"/>
  <c r="F275" i="33"/>
  <c r="C276" i="33" s="1"/>
  <c r="G275" i="33"/>
  <c r="G391" i="33"/>
  <c r="F391" i="33"/>
  <c r="C392" i="33" s="1"/>
  <c r="F179" i="33"/>
  <c r="C180" i="33" s="1"/>
  <c r="G179" i="33"/>
  <c r="E34" i="29"/>
  <c r="C34" i="29"/>
  <c r="C36" i="29"/>
  <c r="D18" i="14" s="1"/>
  <c r="C37" i="29"/>
  <c r="D19" i="14" s="1"/>
  <c r="C33" i="29"/>
  <c r="D17" i="14" s="1"/>
  <c r="K179" i="33" l="1"/>
  <c r="I179" i="33"/>
  <c r="K391" i="33"/>
  <c r="I391" i="33"/>
  <c r="K275" i="33"/>
  <c r="I275" i="33"/>
  <c r="G276" i="33"/>
  <c r="F276" i="33"/>
  <c r="C277" i="33" s="1"/>
  <c r="G392" i="33"/>
  <c r="F392" i="33"/>
  <c r="C393" i="33" s="1"/>
  <c r="F180" i="33"/>
  <c r="C181" i="33" s="1"/>
  <c r="G180" i="33"/>
  <c r="K180" i="33" l="1"/>
  <c r="I180" i="33"/>
  <c r="K276" i="33"/>
  <c r="I276" i="33"/>
  <c r="K392" i="33"/>
  <c r="I392" i="33"/>
  <c r="G277" i="33"/>
  <c r="F277" i="33"/>
  <c r="C278" i="33" s="1"/>
  <c r="F393" i="33"/>
  <c r="C394" i="33" s="1"/>
  <c r="G393" i="33"/>
  <c r="G181" i="33"/>
  <c r="F181" i="33"/>
  <c r="C182" i="33" s="1"/>
  <c r="K393" i="33" l="1"/>
  <c r="I393" i="33"/>
  <c r="K277" i="33"/>
  <c r="I277" i="33"/>
  <c r="K181" i="33"/>
  <c r="I181" i="33"/>
  <c r="G278" i="33"/>
  <c r="F278" i="33"/>
  <c r="C279" i="33" s="1"/>
  <c r="F394" i="33"/>
  <c r="C395" i="33" s="1"/>
  <c r="G394" i="33"/>
  <c r="G182" i="33"/>
  <c r="F182" i="33"/>
  <c r="C183" i="33" s="1"/>
  <c r="K182" i="33" l="1"/>
  <c r="I182" i="33"/>
  <c r="K394" i="33"/>
  <c r="I394" i="33"/>
  <c r="I278" i="33"/>
  <c r="K278" i="33"/>
  <c r="F279" i="33"/>
  <c r="C280" i="33" s="1"/>
  <c r="G279" i="33"/>
  <c r="G395" i="33"/>
  <c r="F395" i="33"/>
  <c r="C396" i="33" s="1"/>
  <c r="F183" i="33"/>
  <c r="C184" i="33" s="1"/>
  <c r="G183" i="33"/>
  <c r="K183" i="33" l="1"/>
  <c r="I183" i="33"/>
  <c r="K395" i="33"/>
  <c r="I395" i="33"/>
  <c r="K279" i="33"/>
  <c r="I279" i="33"/>
  <c r="G280" i="33"/>
  <c r="F280" i="33"/>
  <c r="C281" i="33" s="1"/>
  <c r="G396" i="33"/>
  <c r="F396" i="33"/>
  <c r="C397" i="33" s="1"/>
  <c r="F184" i="33"/>
  <c r="C185" i="33" s="1"/>
  <c r="G184" i="33"/>
  <c r="K396" i="33" l="1"/>
  <c r="I396" i="33"/>
  <c r="K280" i="33"/>
  <c r="I280" i="33"/>
  <c r="K184" i="33"/>
  <c r="I184" i="33"/>
  <c r="G281" i="33"/>
  <c r="F281" i="33"/>
  <c r="C282" i="33" s="1"/>
  <c r="G397" i="33"/>
  <c r="F397" i="33"/>
  <c r="C398" i="33" s="1"/>
  <c r="G185" i="33"/>
  <c r="F185" i="33"/>
  <c r="C186" i="33" s="1"/>
  <c r="K185" i="33" l="1"/>
  <c r="I185" i="33"/>
  <c r="K397" i="33"/>
  <c r="I397" i="33"/>
  <c r="K281" i="33"/>
  <c r="I281" i="33"/>
  <c r="G282" i="33"/>
  <c r="F282" i="33"/>
  <c r="C283" i="33" s="1"/>
  <c r="G398" i="33"/>
  <c r="F398" i="33"/>
  <c r="C399" i="33" s="1"/>
  <c r="G186" i="33"/>
  <c r="F186" i="33"/>
  <c r="C187" i="33" s="1"/>
  <c r="K186" i="33" l="1"/>
  <c r="I186" i="33"/>
  <c r="K398" i="33"/>
  <c r="I398" i="33"/>
  <c r="I282" i="33"/>
  <c r="K282" i="33"/>
  <c r="G283" i="33"/>
  <c r="F283" i="33"/>
  <c r="C284" i="33" s="1"/>
  <c r="G399" i="33"/>
  <c r="F399" i="33"/>
  <c r="C400" i="33" s="1"/>
  <c r="F187" i="33"/>
  <c r="C188" i="33" s="1"/>
  <c r="G187" i="33"/>
  <c r="K283" i="33" l="1"/>
  <c r="I283" i="33"/>
  <c r="K187" i="33"/>
  <c r="I187" i="33"/>
  <c r="K399" i="33"/>
  <c r="I399" i="33"/>
  <c r="F284" i="33"/>
  <c r="C285" i="33" s="1"/>
  <c r="G284" i="33"/>
  <c r="F400" i="33"/>
  <c r="C401" i="33" s="1"/>
  <c r="G400" i="33"/>
  <c r="F188" i="33"/>
  <c r="C189" i="33" s="1"/>
  <c r="G188" i="33"/>
  <c r="K400" i="33" l="1"/>
  <c r="I400" i="33"/>
  <c r="K284" i="33"/>
  <c r="I284" i="33"/>
  <c r="K188" i="33"/>
  <c r="I188" i="33"/>
  <c r="F285" i="33"/>
  <c r="C286" i="33" s="1"/>
  <c r="G285" i="33"/>
  <c r="F401" i="33"/>
  <c r="C402" i="33" s="1"/>
  <c r="G401" i="33"/>
  <c r="G189" i="33"/>
  <c r="F189" i="33"/>
  <c r="C190" i="33" s="1"/>
  <c r="K189" i="33" l="1"/>
  <c r="I189" i="33"/>
  <c r="K285" i="33"/>
  <c r="I285" i="33"/>
  <c r="K401" i="33"/>
  <c r="I401" i="33"/>
  <c r="G286" i="33"/>
  <c r="F286" i="33"/>
  <c r="C287" i="33" s="1"/>
  <c r="F402" i="33"/>
  <c r="C403" i="33" s="1"/>
  <c r="G402" i="33"/>
  <c r="G190" i="33"/>
  <c r="F190" i="33"/>
  <c r="C191" i="33" s="1"/>
  <c r="K402" i="33" l="1"/>
  <c r="I402" i="33"/>
  <c r="K190" i="33"/>
  <c r="I190" i="33"/>
  <c r="K286" i="33"/>
  <c r="I286" i="33"/>
  <c r="G287" i="33"/>
  <c r="F287" i="33"/>
  <c r="C288" i="33" s="1"/>
  <c r="F403" i="33"/>
  <c r="C404" i="33" s="1"/>
  <c r="G403" i="33"/>
  <c r="F191" i="33"/>
  <c r="C192" i="33" s="1"/>
  <c r="G191" i="33"/>
  <c r="K191" i="33" l="1"/>
  <c r="I191" i="33"/>
  <c r="K287" i="33"/>
  <c r="I287" i="33"/>
  <c r="K403" i="33"/>
  <c r="I403" i="33"/>
  <c r="G288" i="33"/>
  <c r="F288" i="33"/>
  <c r="C289" i="33" s="1"/>
  <c r="F404" i="33"/>
  <c r="C405" i="33" s="1"/>
  <c r="G404" i="33"/>
  <c r="F192" i="33"/>
  <c r="C193" i="33" s="1"/>
  <c r="G192" i="33"/>
  <c r="K192" i="33" l="1"/>
  <c r="I192" i="33"/>
  <c r="K404" i="33"/>
  <c r="I404" i="33"/>
  <c r="K288" i="33"/>
  <c r="I288" i="33"/>
  <c r="G289" i="33"/>
  <c r="F289" i="33"/>
  <c r="C290" i="33" s="1"/>
  <c r="F405" i="33"/>
  <c r="C406" i="33" s="1"/>
  <c r="G405" i="33"/>
  <c r="G193" i="33"/>
  <c r="F193" i="33"/>
  <c r="C194" i="33" s="1"/>
  <c r="K405" i="33" l="1"/>
  <c r="I405" i="33"/>
  <c r="K193" i="33"/>
  <c r="I193" i="33"/>
  <c r="K289" i="33"/>
  <c r="I289" i="33"/>
  <c r="F290" i="33"/>
  <c r="C291" i="33" s="1"/>
  <c r="G290" i="33"/>
  <c r="G406" i="33"/>
  <c r="F406" i="33"/>
  <c r="C407" i="33" s="1"/>
  <c r="G194" i="33"/>
  <c r="F194" i="33"/>
  <c r="C195" i="33" s="1"/>
  <c r="K194" i="33" l="1"/>
  <c r="I194" i="33"/>
  <c r="K406" i="33"/>
  <c r="I406" i="33"/>
  <c r="I290" i="33"/>
  <c r="K290" i="33"/>
  <c r="F291" i="33"/>
  <c r="C292" i="33" s="1"/>
  <c r="G291" i="33"/>
  <c r="G407" i="33"/>
  <c r="F407" i="33"/>
  <c r="C408" i="33" s="1"/>
  <c r="G195" i="33"/>
  <c r="F195" i="33"/>
  <c r="C196" i="33" s="1"/>
  <c r="K195" i="33" l="1"/>
  <c r="I195" i="33"/>
  <c r="K291" i="33"/>
  <c r="I291" i="33"/>
  <c r="K407" i="33"/>
  <c r="I407" i="33"/>
  <c r="G292" i="33"/>
  <c r="F292" i="33"/>
  <c r="C293" i="33" s="1"/>
  <c r="F408" i="33"/>
  <c r="C409" i="33" s="1"/>
  <c r="G408" i="33"/>
  <c r="F196" i="33"/>
  <c r="C197" i="33" s="1"/>
  <c r="G196" i="33"/>
  <c r="K196" i="33" l="1"/>
  <c r="I196" i="33"/>
  <c r="K408" i="33"/>
  <c r="I408" i="33"/>
  <c r="K292" i="33"/>
  <c r="I292" i="33"/>
  <c r="G293" i="33"/>
  <c r="F293" i="33"/>
  <c r="C294" i="33" s="1"/>
  <c r="G409" i="33"/>
  <c r="F409" i="33"/>
  <c r="C410" i="33" s="1"/>
  <c r="G197" i="33"/>
  <c r="F197" i="33"/>
  <c r="C198" i="33" s="1"/>
  <c r="K197" i="33" l="1"/>
  <c r="I197" i="33"/>
  <c r="K409" i="33"/>
  <c r="I409" i="33"/>
  <c r="K293" i="33"/>
  <c r="I293" i="33"/>
  <c r="G294" i="33"/>
  <c r="F294" i="33"/>
  <c r="C295" i="33" s="1"/>
  <c r="F410" i="33"/>
  <c r="C411" i="33" s="1"/>
  <c r="G410" i="33"/>
  <c r="G198" i="33"/>
  <c r="F198" i="33"/>
  <c r="C199" i="33" s="1"/>
  <c r="K198" i="33" l="1"/>
  <c r="I198" i="33"/>
  <c r="K410" i="33"/>
  <c r="I410" i="33"/>
  <c r="I294" i="33"/>
  <c r="K294" i="33"/>
  <c r="F295" i="33"/>
  <c r="C296" i="33" s="1"/>
  <c r="G295" i="33"/>
  <c r="F411" i="33"/>
  <c r="C412" i="33" s="1"/>
  <c r="G411" i="33"/>
  <c r="G199" i="33"/>
  <c r="F199" i="33"/>
  <c r="C200" i="33" s="1"/>
  <c r="K199" i="33" l="1"/>
  <c r="I199" i="33"/>
  <c r="K295" i="33"/>
  <c r="I295" i="33"/>
  <c r="K411" i="33"/>
  <c r="I411" i="33"/>
  <c r="G296" i="33"/>
  <c r="F296" i="33"/>
  <c r="C297" i="33" s="1"/>
  <c r="F412" i="33"/>
  <c r="C413" i="33" s="1"/>
  <c r="G412" i="33"/>
  <c r="F200" i="33"/>
  <c r="C201" i="33" s="1"/>
  <c r="G200" i="33"/>
  <c r="K200" i="33" l="1"/>
  <c r="I200" i="33"/>
  <c r="K412" i="33"/>
  <c r="I412" i="33"/>
  <c r="K296" i="33"/>
  <c r="I296" i="33"/>
  <c r="G297" i="33"/>
  <c r="F297" i="33"/>
  <c r="C298" i="33" s="1"/>
  <c r="G413" i="33"/>
  <c r="F413" i="33"/>
  <c r="C414" i="33" s="1"/>
  <c r="G201" i="33"/>
  <c r="F201" i="33"/>
  <c r="C202" i="33" s="1"/>
  <c r="K201" i="33" l="1"/>
  <c r="I201" i="33"/>
  <c r="K413" i="33"/>
  <c r="I413" i="33"/>
  <c r="K297" i="33"/>
  <c r="I297" i="33"/>
  <c r="G298" i="33"/>
  <c r="F298" i="33"/>
  <c r="C299" i="33" s="1"/>
  <c r="G414" i="33"/>
  <c r="F414" i="33"/>
  <c r="C415" i="33" s="1"/>
  <c r="G202" i="33"/>
  <c r="F202" i="33"/>
  <c r="C203" i="33" s="1"/>
  <c r="K414" i="33" l="1"/>
  <c r="I414" i="33"/>
  <c r="I298" i="33"/>
  <c r="K298" i="33"/>
  <c r="K202" i="33"/>
  <c r="I202" i="33"/>
  <c r="F299" i="33"/>
  <c r="C300" i="33" s="1"/>
  <c r="G299" i="33"/>
  <c r="G415" i="33"/>
  <c r="F415" i="33"/>
  <c r="C416" i="33" s="1"/>
  <c r="G203" i="33"/>
  <c r="F203" i="33"/>
  <c r="C204" i="33" s="1"/>
  <c r="K203" i="33" l="1"/>
  <c r="I203" i="33"/>
  <c r="K415" i="33"/>
  <c r="I415" i="33"/>
  <c r="K299" i="33"/>
  <c r="I299" i="33"/>
  <c r="G300" i="33"/>
  <c r="F300" i="33"/>
  <c r="C301" i="33" s="1"/>
  <c r="G416" i="33"/>
  <c r="F416" i="33"/>
  <c r="C417" i="33" s="1"/>
  <c r="G204" i="33"/>
  <c r="F204" i="33"/>
  <c r="C205" i="33" s="1"/>
  <c r="K204" i="33" l="1"/>
  <c r="I204" i="33"/>
  <c r="K300" i="33"/>
  <c r="I300" i="33"/>
  <c r="K416" i="33"/>
  <c r="I416" i="33"/>
  <c r="G301" i="33"/>
  <c r="F301" i="33"/>
  <c r="C302" i="33" s="1"/>
  <c r="G417" i="33"/>
  <c r="F417" i="33"/>
  <c r="C418" i="33" s="1"/>
  <c r="G205" i="33"/>
  <c r="F205" i="33"/>
  <c r="C206" i="33" s="1"/>
  <c r="K301" i="33" l="1"/>
  <c r="I301" i="33"/>
  <c r="K205" i="33"/>
  <c r="I205" i="33"/>
  <c r="K417" i="33"/>
  <c r="I417" i="33"/>
  <c r="G302" i="33"/>
  <c r="F302" i="33"/>
  <c r="C303" i="33" s="1"/>
  <c r="G418" i="33"/>
  <c r="F418" i="33"/>
  <c r="C419" i="33" s="1"/>
  <c r="G206" i="33"/>
  <c r="F206" i="33"/>
  <c r="C207" i="33" s="1"/>
  <c r="K206" i="33" l="1"/>
  <c r="I206" i="33"/>
  <c r="K418" i="33"/>
  <c r="I418" i="33"/>
  <c r="I302" i="33"/>
  <c r="K302" i="33"/>
  <c r="F303" i="33"/>
  <c r="C304" i="33" s="1"/>
  <c r="G303" i="33"/>
  <c r="G419" i="33"/>
  <c r="F419" i="33"/>
  <c r="C420" i="33" s="1"/>
  <c r="G207" i="33"/>
  <c r="F207" i="33"/>
  <c r="C208" i="33" s="1"/>
  <c r="K207" i="33" l="1"/>
  <c r="I207" i="33"/>
  <c r="K419" i="33"/>
  <c r="I419" i="33"/>
  <c r="K303" i="33"/>
  <c r="I303" i="33"/>
  <c r="G304" i="33"/>
  <c r="F304" i="33"/>
  <c r="C305" i="33" s="1"/>
  <c r="G420" i="33"/>
  <c r="F420" i="33"/>
  <c r="C421" i="33" s="1"/>
  <c r="F208" i="33"/>
  <c r="C209" i="33" s="1"/>
  <c r="G208" i="33"/>
  <c r="K208" i="33" l="1"/>
  <c r="I208" i="33"/>
  <c r="K420" i="33"/>
  <c r="I420" i="33"/>
  <c r="K304" i="33"/>
  <c r="I304" i="33"/>
  <c r="G305" i="33"/>
  <c r="F305" i="33"/>
  <c r="C306" i="33" s="1"/>
  <c r="F421" i="33"/>
  <c r="C422" i="33" s="1"/>
  <c r="G421" i="33"/>
  <c r="G209" i="33"/>
  <c r="F209" i="33"/>
  <c r="C210" i="33" s="1"/>
  <c r="K421" i="33" l="1"/>
  <c r="I421" i="33"/>
  <c r="K209" i="33"/>
  <c r="I209" i="33"/>
  <c r="K305" i="33"/>
  <c r="I305" i="33"/>
  <c r="F306" i="33"/>
  <c r="C307" i="33" s="1"/>
  <c r="G306" i="33"/>
  <c r="F422" i="33"/>
  <c r="C423" i="33" s="1"/>
  <c r="G422" i="33"/>
  <c r="G210" i="33"/>
  <c r="F210" i="33"/>
  <c r="C211" i="33" s="1"/>
  <c r="K422" i="33" l="1"/>
  <c r="I422" i="33"/>
  <c r="K306" i="33"/>
  <c r="I306" i="33"/>
  <c r="K210" i="33"/>
  <c r="I210" i="33"/>
  <c r="G307" i="33"/>
  <c r="F307" i="33"/>
  <c r="C308" i="33" s="1"/>
  <c r="G423" i="33"/>
  <c r="F423" i="33"/>
  <c r="C424" i="33" s="1"/>
  <c r="G211" i="33"/>
  <c r="F211" i="33"/>
  <c r="C212" i="33" s="1"/>
  <c r="K423" i="33" l="1"/>
  <c r="I423" i="33"/>
  <c r="K211" i="33"/>
  <c r="I211" i="33"/>
  <c r="K307" i="33"/>
  <c r="I307" i="33"/>
  <c r="G308" i="33"/>
  <c r="F308" i="33"/>
  <c r="C309" i="33" s="1"/>
  <c r="G424" i="33"/>
  <c r="F424" i="33"/>
  <c r="C425" i="33" s="1"/>
  <c r="G212" i="33"/>
  <c r="F212" i="33"/>
  <c r="C213" i="33" s="1"/>
  <c r="K424" i="33" l="1"/>
  <c r="I424" i="33"/>
  <c r="K212" i="33"/>
  <c r="I212" i="33"/>
  <c r="K308" i="33"/>
  <c r="I308" i="33"/>
  <c r="G309" i="33"/>
  <c r="F309" i="33"/>
  <c r="C310" i="33" s="1"/>
  <c r="G425" i="33"/>
  <c r="F425" i="33"/>
  <c r="C426" i="33" s="1"/>
  <c r="G213" i="33"/>
  <c r="F213" i="33"/>
  <c r="C214" i="33" s="1"/>
  <c r="K213" i="33" l="1"/>
  <c r="I213" i="33"/>
  <c r="K425" i="33"/>
  <c r="I425" i="33"/>
  <c r="K309" i="33"/>
  <c r="I309" i="33"/>
  <c r="F310" i="33"/>
  <c r="C311" i="33" s="1"/>
  <c r="G310" i="33"/>
  <c r="F426" i="33"/>
  <c r="C427" i="33" s="1"/>
  <c r="G426" i="33"/>
  <c r="G214" i="33"/>
  <c r="F214" i="33"/>
  <c r="C215" i="33" s="1"/>
  <c r="K426" i="33" l="1"/>
  <c r="I426" i="33"/>
  <c r="I310" i="33"/>
  <c r="K310" i="33"/>
  <c r="K214" i="33"/>
  <c r="I214" i="33"/>
  <c r="G311" i="33"/>
  <c r="F311" i="33"/>
  <c r="C312" i="33" s="1"/>
  <c r="F427" i="33"/>
  <c r="C428" i="33" s="1"/>
  <c r="G427" i="33"/>
  <c r="G215" i="33"/>
  <c r="F215" i="33"/>
  <c r="C216" i="33" s="1"/>
  <c r="K215" i="33" l="1"/>
  <c r="I215" i="33"/>
  <c r="K311" i="33"/>
  <c r="I311" i="33"/>
  <c r="K427" i="33"/>
  <c r="I427" i="33"/>
  <c r="F312" i="33"/>
  <c r="C313" i="33" s="1"/>
  <c r="G312" i="33"/>
  <c r="G428" i="33"/>
  <c r="F428" i="33"/>
  <c r="C429" i="33" s="1"/>
  <c r="F216" i="33"/>
  <c r="C217" i="33" s="1"/>
  <c r="G216" i="33"/>
  <c r="K216" i="33" l="1"/>
  <c r="I216" i="33"/>
  <c r="K428" i="33"/>
  <c r="I428" i="33"/>
  <c r="K312" i="33"/>
  <c r="I312" i="33"/>
  <c r="G313" i="33"/>
  <c r="F313" i="33"/>
  <c r="C314" i="33" s="1"/>
  <c r="F429" i="33"/>
  <c r="C430" i="33" s="1"/>
  <c r="G429" i="33"/>
  <c r="G217" i="33"/>
  <c r="F217" i="33"/>
  <c r="C218" i="33" s="1"/>
  <c r="K217" i="33" l="1"/>
  <c r="I217" i="33"/>
  <c r="K429" i="33"/>
  <c r="I429" i="33"/>
  <c r="K313" i="33"/>
  <c r="I313" i="33"/>
  <c r="G314" i="33"/>
  <c r="F314" i="33"/>
  <c r="C315" i="33" s="1"/>
  <c r="G430" i="33"/>
  <c r="F430" i="33"/>
  <c r="C431" i="33" s="1"/>
  <c r="G218" i="33"/>
  <c r="F218" i="33"/>
  <c r="C219" i="33" s="1"/>
  <c r="K218" i="33" l="1"/>
  <c r="I218" i="33"/>
  <c r="K430" i="33"/>
  <c r="I430" i="33"/>
  <c r="I314" i="33"/>
  <c r="K314" i="33"/>
  <c r="F315" i="33"/>
  <c r="C316" i="33" s="1"/>
  <c r="G315" i="33"/>
  <c r="F431" i="33"/>
  <c r="C432" i="33" s="1"/>
  <c r="G431" i="33"/>
  <c r="G219" i="33"/>
  <c r="F219" i="33"/>
  <c r="C220" i="33" s="1"/>
  <c r="K219" i="33" l="1"/>
  <c r="I219" i="33"/>
  <c r="K431" i="33"/>
  <c r="I431" i="33"/>
  <c r="K315" i="33"/>
  <c r="I315" i="33"/>
  <c r="G316" i="33"/>
  <c r="F316" i="33"/>
  <c r="C317" i="33" s="1"/>
  <c r="F432" i="33"/>
  <c r="C433" i="33" s="1"/>
  <c r="G432" i="33"/>
  <c r="G220" i="33"/>
  <c r="F220" i="33"/>
  <c r="C221" i="33" s="1"/>
  <c r="K432" i="33" l="1"/>
  <c r="I432" i="33"/>
  <c r="K316" i="33"/>
  <c r="I316" i="33"/>
  <c r="K220" i="33"/>
  <c r="I220" i="33"/>
  <c r="G317" i="33"/>
  <c r="F317" i="33"/>
  <c r="C318" i="33" s="1"/>
  <c r="G433" i="33"/>
  <c r="F433" i="33"/>
  <c r="C434" i="33" s="1"/>
  <c r="G221" i="33"/>
  <c r="F221" i="33"/>
  <c r="C222" i="33" s="1"/>
  <c r="K221" i="33" l="1"/>
  <c r="I221" i="33"/>
  <c r="K433" i="33"/>
  <c r="I433" i="33"/>
  <c r="K317" i="33"/>
  <c r="I317" i="33"/>
  <c r="F318" i="33"/>
  <c r="C319" i="33" s="1"/>
  <c r="G318" i="33"/>
  <c r="G434" i="33"/>
  <c r="F434" i="33"/>
  <c r="C435" i="33" s="1"/>
  <c r="G222" i="33"/>
  <c r="F222" i="33"/>
  <c r="C223" i="33" s="1"/>
  <c r="K222" i="33" l="1"/>
  <c r="I222" i="33"/>
  <c r="K434" i="33"/>
  <c r="I434" i="33"/>
  <c r="K318" i="33"/>
  <c r="I318" i="33"/>
  <c r="F319" i="33"/>
  <c r="C320" i="33" s="1"/>
  <c r="G319" i="33"/>
  <c r="F435" i="33"/>
  <c r="C436" i="33" s="1"/>
  <c r="G435" i="33"/>
  <c r="G223" i="33"/>
  <c r="F223" i="33"/>
  <c r="C224" i="33" s="1"/>
  <c r="K223" i="33" l="1"/>
  <c r="I223" i="33"/>
  <c r="K435" i="33"/>
  <c r="I435" i="33"/>
  <c r="K319" i="33"/>
  <c r="I319" i="33"/>
  <c r="G320" i="33"/>
  <c r="F320" i="33"/>
  <c r="C321" i="33" s="1"/>
  <c r="F436" i="33"/>
  <c r="C437" i="33" s="1"/>
  <c r="G436" i="33"/>
  <c r="F224" i="33"/>
  <c r="C225" i="33" s="1"/>
  <c r="G224" i="33"/>
  <c r="K436" i="33" l="1"/>
  <c r="I436" i="33"/>
  <c r="K320" i="33"/>
  <c r="I320" i="33"/>
  <c r="K224" i="33"/>
  <c r="I224" i="33"/>
  <c r="G321" i="33"/>
  <c r="F321" i="33"/>
  <c r="C322" i="33" s="1"/>
  <c r="G437" i="33"/>
  <c r="F437" i="33"/>
  <c r="C438" i="33" s="1"/>
  <c r="G225" i="33"/>
  <c r="F225" i="33"/>
  <c r="C226" i="33" s="1"/>
  <c r="K225" i="33" l="1"/>
  <c r="I225" i="33"/>
  <c r="K321" i="33"/>
  <c r="I321" i="33"/>
  <c r="K437" i="33"/>
  <c r="I437" i="33"/>
  <c r="F322" i="33"/>
  <c r="C323" i="33" s="1"/>
  <c r="G322" i="33"/>
  <c r="G438" i="33"/>
  <c r="F438" i="33"/>
  <c r="C439" i="33" s="1"/>
  <c r="G226" i="33"/>
  <c r="F226" i="33"/>
  <c r="C227" i="33" s="1"/>
  <c r="K226" i="33" l="1"/>
  <c r="I226" i="33"/>
  <c r="I322" i="33"/>
  <c r="K322" i="33"/>
  <c r="K438" i="33"/>
  <c r="I438" i="33"/>
  <c r="F323" i="33"/>
  <c r="C324" i="33" s="1"/>
  <c r="G323" i="33"/>
  <c r="G439" i="33"/>
  <c r="F439" i="33"/>
  <c r="C440" i="33" s="1"/>
  <c r="G227" i="33"/>
  <c r="F227" i="33"/>
  <c r="C228" i="33" s="1"/>
  <c r="K439" i="33" l="1"/>
  <c r="I439" i="33"/>
  <c r="K227" i="33"/>
  <c r="I227" i="33"/>
  <c r="K323" i="33"/>
  <c r="I323" i="33"/>
  <c r="G324" i="33"/>
  <c r="F324" i="33"/>
  <c r="C325" i="33" s="1"/>
  <c r="G440" i="33"/>
  <c r="F440" i="33"/>
  <c r="C441" i="33" s="1"/>
  <c r="G228" i="33"/>
  <c r="F228" i="33"/>
  <c r="C229" i="33" s="1"/>
  <c r="K228" i="33" l="1"/>
  <c r="I228" i="33"/>
  <c r="K440" i="33"/>
  <c r="I440" i="33"/>
  <c r="K324" i="33"/>
  <c r="I324" i="33"/>
  <c r="G325" i="33"/>
  <c r="F325" i="33"/>
  <c r="C326" i="33" s="1"/>
  <c r="F441" i="33"/>
  <c r="C442" i="33" s="1"/>
  <c r="G441" i="33"/>
  <c r="G229" i="33"/>
  <c r="F229" i="33"/>
  <c r="C230" i="33" s="1"/>
  <c r="K441" i="33" l="1"/>
  <c r="I441" i="33"/>
  <c r="K325" i="33"/>
  <c r="I325" i="33"/>
  <c r="K229" i="33"/>
  <c r="I229" i="33"/>
  <c r="G326" i="33"/>
  <c r="F326" i="33"/>
  <c r="C327" i="33" s="1"/>
  <c r="G442" i="33"/>
  <c r="F442" i="33"/>
  <c r="C443" i="33" s="1"/>
  <c r="G230" i="33"/>
  <c r="F230" i="33"/>
  <c r="C231" i="33" s="1"/>
  <c r="K230" i="33" l="1"/>
  <c r="I230" i="33"/>
  <c r="K442" i="33"/>
  <c r="I442" i="33"/>
  <c r="I326" i="33"/>
  <c r="K326" i="33"/>
  <c r="G327" i="33"/>
  <c r="F327" i="33"/>
  <c r="C328" i="33" s="1"/>
  <c r="G443" i="33"/>
  <c r="F443" i="33"/>
  <c r="C444" i="33" s="1"/>
  <c r="G231" i="33"/>
  <c r="F231" i="33"/>
  <c r="C232" i="33" s="1"/>
  <c r="K231" i="33" l="1"/>
  <c r="I231" i="33"/>
  <c r="K443" i="33"/>
  <c r="I443" i="33"/>
  <c r="K327" i="33"/>
  <c r="I327" i="33"/>
  <c r="F328" i="33"/>
  <c r="C329" i="33" s="1"/>
  <c r="G328" i="33"/>
  <c r="G444" i="33"/>
  <c r="F444" i="33"/>
  <c r="C445" i="33" s="1"/>
  <c r="F232" i="33"/>
  <c r="C233" i="33" s="1"/>
  <c r="G232" i="33"/>
  <c r="K232" i="33" l="1"/>
  <c r="I232" i="33"/>
  <c r="K328" i="33"/>
  <c r="I328" i="33"/>
  <c r="K444" i="33"/>
  <c r="I444" i="33"/>
  <c r="G329" i="33"/>
  <c r="F329" i="33"/>
  <c r="C330" i="33" s="1"/>
  <c r="F445" i="33"/>
  <c r="C446" i="33" s="1"/>
  <c r="G445" i="33"/>
  <c r="G233" i="33"/>
  <c r="F233" i="33"/>
  <c r="C234" i="33" s="1"/>
  <c r="K233" i="33" l="1"/>
  <c r="I233" i="33"/>
  <c r="K445" i="33"/>
  <c r="I445" i="33"/>
  <c r="K329" i="33"/>
  <c r="I329" i="33"/>
  <c r="G330" i="33"/>
  <c r="F330" i="33"/>
  <c r="C331" i="33" s="1"/>
  <c r="F446" i="33"/>
  <c r="C447" i="33" s="1"/>
  <c r="G446" i="33"/>
  <c r="G234" i="33"/>
  <c r="F234" i="33"/>
  <c r="C235" i="33" s="1"/>
  <c r="K234" i="33" l="1"/>
  <c r="I234" i="33"/>
  <c r="K446" i="33"/>
  <c r="I446" i="33"/>
  <c r="I330" i="33"/>
  <c r="K330" i="33"/>
  <c r="F331" i="33"/>
  <c r="C332" i="33" s="1"/>
  <c r="G331" i="33"/>
  <c r="F447" i="33"/>
  <c r="C448" i="33" s="1"/>
  <c r="G447" i="33"/>
  <c r="G235" i="33"/>
  <c r="F235" i="33"/>
  <c r="C236" i="33" s="1"/>
  <c r="K447" i="33" l="1"/>
  <c r="I447" i="33"/>
  <c r="K331" i="33"/>
  <c r="I331" i="33"/>
  <c r="K235" i="33"/>
  <c r="I235" i="33"/>
  <c r="G332" i="33"/>
  <c r="F332" i="33"/>
  <c r="C333" i="33" s="1"/>
  <c r="G448" i="33"/>
  <c r="F448" i="33"/>
  <c r="C449" i="33" s="1"/>
  <c r="G236" i="33"/>
  <c r="F236" i="33"/>
  <c r="C237" i="33" s="1"/>
  <c r="K236" i="33" l="1"/>
  <c r="I236" i="33"/>
  <c r="K448" i="33"/>
  <c r="I448" i="33"/>
  <c r="K332" i="33"/>
  <c r="I332" i="33"/>
  <c r="F333" i="33"/>
  <c r="C334" i="33" s="1"/>
  <c r="G333" i="33"/>
  <c r="G449" i="33"/>
  <c r="F449" i="33"/>
  <c r="C450" i="33" s="1"/>
  <c r="G237" i="33"/>
  <c r="F237" i="33"/>
  <c r="C238" i="33" s="1"/>
  <c r="K237" i="33" l="1"/>
  <c r="I237" i="33"/>
  <c r="K449" i="33"/>
  <c r="I449" i="33"/>
  <c r="K333" i="33"/>
  <c r="I333" i="33"/>
  <c r="G334" i="33"/>
  <c r="F334" i="33"/>
  <c r="C335" i="33" s="1"/>
  <c r="G450" i="33"/>
  <c r="F450" i="33"/>
  <c r="C451" i="33" s="1"/>
  <c r="G238" i="33"/>
  <c r="F238" i="33"/>
  <c r="C239" i="33" s="1"/>
  <c r="K238" i="33" l="1"/>
  <c r="I238" i="33"/>
  <c r="K450" i="33"/>
  <c r="I450" i="33"/>
  <c r="I334" i="33"/>
  <c r="K334" i="33"/>
  <c r="G335" i="33"/>
  <c r="F335" i="33"/>
  <c r="C336" i="33" s="1"/>
  <c r="G451" i="33"/>
  <c r="F451" i="33"/>
  <c r="C452" i="33" s="1"/>
  <c r="G239" i="33"/>
  <c r="F239" i="33"/>
  <c r="K335" i="33" l="1"/>
  <c r="I335" i="33"/>
  <c r="K239" i="33"/>
  <c r="I239" i="33"/>
  <c r="K451" i="33"/>
  <c r="I451" i="33"/>
  <c r="G240" i="33"/>
  <c r="G336" i="33"/>
  <c r="F336" i="33"/>
  <c r="C337" i="33" s="1"/>
  <c r="G452" i="33"/>
  <c r="F452" i="33"/>
  <c r="C453" i="33" s="1"/>
  <c r="K240" i="33"/>
  <c r="D19" i="29" l="1"/>
  <c r="K452" i="33"/>
  <c r="I452" i="33"/>
  <c r="K336" i="33"/>
  <c r="I336" i="33"/>
  <c r="G337" i="33"/>
  <c r="F337" i="33"/>
  <c r="C338" i="33" s="1"/>
  <c r="F453" i="33"/>
  <c r="G453" i="33"/>
  <c r="I240" i="33"/>
  <c r="E19" i="29" s="1" a="1"/>
  <c r="E19" i="29" s="1"/>
  <c r="G19" i="29" l="1"/>
  <c r="K337" i="33"/>
  <c r="I337" i="33"/>
  <c r="K453" i="33"/>
  <c r="I453" i="33"/>
  <c r="G338" i="33"/>
  <c r="F338" i="33"/>
  <c r="C339" i="33" s="1"/>
  <c r="G454" i="33"/>
  <c r="K454" i="33"/>
  <c r="D21" i="29" l="1"/>
  <c r="I338" i="33"/>
  <c r="K338" i="33"/>
  <c r="G339" i="33"/>
  <c r="F339" i="33"/>
  <c r="C340" i="33" s="1"/>
  <c r="I454" i="33"/>
  <c r="E21" i="29" s="1" a="1"/>
  <c r="E21" i="29" s="1"/>
  <c r="G21" i="29" l="1"/>
  <c r="K339" i="33"/>
  <c r="I339" i="33"/>
  <c r="G340" i="33"/>
  <c r="F340" i="33"/>
  <c r="C341" i="33" s="1"/>
  <c r="K340" i="33" l="1"/>
  <c r="I340" i="33"/>
  <c r="G341" i="33"/>
  <c r="F341" i="33"/>
  <c r="C342" i="33" s="1"/>
  <c r="K341" i="33" l="1"/>
  <c r="I341" i="33"/>
  <c r="G342" i="33"/>
  <c r="F342" i="33"/>
  <c r="C343" i="33" s="1"/>
  <c r="I342" i="33" l="1"/>
  <c r="K342" i="33"/>
  <c r="G343" i="33"/>
  <c r="F343" i="33"/>
  <c r="C344" i="33" s="1"/>
  <c r="K343" i="33" l="1"/>
  <c r="I343" i="33"/>
  <c r="F344" i="33"/>
  <c r="C345" i="33" s="1"/>
  <c r="G344" i="33"/>
  <c r="K344" i="33" l="1"/>
  <c r="I344" i="33"/>
  <c r="G345" i="33"/>
  <c r="F345" i="33"/>
  <c r="C346" i="33" s="1"/>
  <c r="K345" i="33" l="1"/>
  <c r="I345" i="33"/>
  <c r="G346" i="33"/>
  <c r="F346" i="33"/>
  <c r="K346" i="33" l="1"/>
  <c r="K347" i="33" s="1"/>
  <c r="I346" i="33"/>
  <c r="G347" i="33"/>
  <c r="D20" i="29" l="1"/>
  <c r="I347" i="33"/>
  <c r="E20" i="29" s="1"/>
  <c r="F33" i="33"/>
  <c r="C34" i="33" s="1"/>
  <c r="G20" i="29" l="1"/>
  <c r="D34" i="33"/>
  <c r="G34" i="33" s="1"/>
  <c r="G33" i="33"/>
  <c r="I33" i="33" l="1"/>
  <c r="K33" i="33"/>
  <c r="I34" i="33"/>
  <c r="K34" i="33"/>
  <c r="F34" i="33"/>
  <c r="C35" i="33" s="1"/>
  <c r="F35" i="33" l="1"/>
  <c r="C36" i="33" s="1"/>
  <c r="G35" i="33"/>
  <c r="I35" i="33" l="1"/>
  <c r="K35" i="33"/>
  <c r="F36" i="33"/>
  <c r="C37" i="33" s="1"/>
  <c r="G36" i="33"/>
  <c r="K36" i="33" l="1"/>
  <c r="I36" i="33"/>
  <c r="F37" i="33"/>
  <c r="C38" i="33" s="1"/>
  <c r="G37" i="33"/>
  <c r="I37" i="33" l="1"/>
  <c r="K37" i="33"/>
  <c r="G38" i="33"/>
  <c r="F38" i="33"/>
  <c r="C39" i="33" s="1"/>
  <c r="I38" i="33" l="1"/>
  <c r="K38" i="33"/>
  <c r="F39" i="33"/>
  <c r="C40" i="33" s="1"/>
  <c r="G39" i="33"/>
  <c r="I39" i="33" l="1"/>
  <c r="K39" i="33"/>
  <c r="F40" i="33"/>
  <c r="C41" i="33" s="1"/>
  <c r="G40" i="33"/>
  <c r="I40" i="33" l="1"/>
  <c r="K40" i="33"/>
  <c r="F41" i="33"/>
  <c r="C42" i="33" s="1"/>
  <c r="G41" i="33"/>
  <c r="I41" i="33" l="1"/>
  <c r="K41" i="33"/>
  <c r="G42" i="33"/>
  <c r="F42" i="33"/>
  <c r="C43" i="33" s="1"/>
  <c r="K42" i="33" l="1"/>
  <c r="I42" i="33"/>
  <c r="F43" i="33"/>
  <c r="C44" i="33" s="1"/>
  <c r="G43" i="33"/>
  <c r="I43" i="33" l="1"/>
  <c r="K43" i="33"/>
  <c r="F44" i="33"/>
  <c r="C45" i="33" s="1"/>
  <c r="G44" i="33"/>
  <c r="I44" i="33" l="1"/>
  <c r="K44" i="33"/>
  <c r="F45" i="33"/>
  <c r="C46" i="33" s="1"/>
  <c r="G45" i="33"/>
  <c r="I45" i="33" l="1"/>
  <c r="K45" i="33"/>
  <c r="G46" i="33"/>
  <c r="F46" i="33"/>
  <c r="C47" i="33" s="1"/>
  <c r="I46" i="33" l="1"/>
  <c r="K46" i="33"/>
  <c r="F47" i="33"/>
  <c r="C48" i="33" s="1"/>
  <c r="G47" i="33"/>
  <c r="I47" i="33" l="1"/>
  <c r="K47" i="33"/>
  <c r="F48" i="33"/>
  <c r="C49" i="33" s="1"/>
  <c r="G48" i="33"/>
  <c r="K48" i="33" l="1"/>
  <c r="I48" i="33"/>
  <c r="F49" i="33"/>
  <c r="C50" i="33" s="1"/>
  <c r="G49" i="33"/>
  <c r="K49" i="33" l="1"/>
  <c r="I49" i="33"/>
  <c r="G50" i="33"/>
  <c r="F50" i="33"/>
  <c r="C51" i="33" s="1"/>
  <c r="K50" i="33" l="1"/>
  <c r="I50" i="33"/>
  <c r="F51" i="33"/>
  <c r="C52" i="33" s="1"/>
  <c r="G51" i="33"/>
  <c r="K51" i="33" l="1"/>
  <c r="I51" i="33"/>
  <c r="F52" i="33"/>
  <c r="C53" i="33" s="1"/>
  <c r="G52" i="33"/>
  <c r="K52" i="33" l="1"/>
  <c r="I52" i="33"/>
  <c r="F53" i="33"/>
  <c r="C54" i="33" s="1"/>
  <c r="G53" i="33"/>
  <c r="K53" i="33" l="1"/>
  <c r="I53" i="33"/>
  <c r="G54" i="33"/>
  <c r="F54" i="33"/>
  <c r="C55" i="33" s="1"/>
  <c r="K54" i="33" l="1"/>
  <c r="I54" i="33"/>
  <c r="F55" i="33"/>
  <c r="C56" i="33" s="1"/>
  <c r="G55" i="33"/>
  <c r="K55" i="33" l="1"/>
  <c r="I55" i="33"/>
  <c r="F56" i="33"/>
  <c r="C57" i="33" s="1"/>
  <c r="G56" i="33"/>
  <c r="K56" i="33" l="1"/>
  <c r="I56" i="33"/>
  <c r="F57" i="33"/>
  <c r="C58" i="33" s="1"/>
  <c r="G57" i="33"/>
  <c r="K57" i="33" l="1"/>
  <c r="I57" i="33"/>
  <c r="G58" i="33"/>
  <c r="F58" i="33"/>
  <c r="C59" i="33" s="1"/>
  <c r="K58" i="33" l="1"/>
  <c r="I58" i="33"/>
  <c r="F59" i="33"/>
  <c r="C60" i="33" s="1"/>
  <c r="G59" i="33"/>
  <c r="K59" i="33" l="1"/>
  <c r="I59" i="33"/>
  <c r="F60" i="33"/>
  <c r="C61" i="33" s="1"/>
  <c r="G60" i="33"/>
  <c r="K60" i="33" l="1"/>
  <c r="I60" i="33"/>
  <c r="F61" i="33"/>
  <c r="C62" i="33" s="1"/>
  <c r="G61" i="33"/>
  <c r="K61" i="33" l="1"/>
  <c r="I61" i="33"/>
  <c r="G62" i="33"/>
  <c r="F62" i="33"/>
  <c r="C63" i="33" s="1"/>
  <c r="K62" i="33" l="1"/>
  <c r="I62" i="33"/>
  <c r="F63" i="33"/>
  <c r="C64" i="33" s="1"/>
  <c r="G63" i="33"/>
  <c r="K63" i="33" l="1"/>
  <c r="I63" i="33"/>
  <c r="F64" i="33"/>
  <c r="C65" i="33" s="1"/>
  <c r="G64" i="33"/>
  <c r="K64" i="33" l="1"/>
  <c r="I64" i="33"/>
  <c r="F65" i="33"/>
  <c r="C66" i="33" s="1"/>
  <c r="G65" i="33"/>
  <c r="K65" i="33" l="1"/>
  <c r="I65" i="33"/>
  <c r="G66" i="33"/>
  <c r="F66" i="33"/>
  <c r="C67" i="33" s="1"/>
  <c r="K66" i="33" l="1"/>
  <c r="I66" i="33"/>
  <c r="F67" i="33"/>
  <c r="C68" i="33" s="1"/>
  <c r="G67" i="33"/>
  <c r="K67" i="33" l="1"/>
  <c r="I67" i="33"/>
  <c r="F68" i="33"/>
  <c r="C69" i="33" s="1"/>
  <c r="G68" i="33"/>
  <c r="K68" i="33" l="1"/>
  <c r="I68" i="33"/>
  <c r="F69" i="33"/>
  <c r="C70" i="33" s="1"/>
  <c r="G69" i="33"/>
  <c r="K69" i="33" l="1"/>
  <c r="I69" i="33"/>
  <c r="G70" i="33"/>
  <c r="F70" i="33"/>
  <c r="C71" i="33" s="1"/>
  <c r="K70" i="33" l="1"/>
  <c r="I70" i="33"/>
  <c r="F71" i="33"/>
  <c r="C72" i="33" s="1"/>
  <c r="G71" i="33"/>
  <c r="K71" i="33" l="1"/>
  <c r="I71" i="33"/>
  <c r="F72" i="33"/>
  <c r="C73" i="33" s="1"/>
  <c r="G72" i="33"/>
  <c r="K72" i="33" l="1"/>
  <c r="I72" i="33"/>
  <c r="F73" i="33"/>
  <c r="C74" i="33" s="1"/>
  <c r="G73" i="33"/>
  <c r="K73" i="33" l="1"/>
  <c r="I73" i="33"/>
  <c r="G74" i="33"/>
  <c r="F74" i="33"/>
  <c r="C75" i="33" s="1"/>
  <c r="K74" i="33" l="1"/>
  <c r="I74" i="33"/>
  <c r="F75" i="33"/>
  <c r="C76" i="33" s="1"/>
  <c r="G75" i="33"/>
  <c r="K75" i="33" l="1"/>
  <c r="I75" i="33"/>
  <c r="F76" i="33"/>
  <c r="C77" i="33" s="1"/>
  <c r="G76" i="33"/>
  <c r="K76" i="33" l="1"/>
  <c r="I76" i="33"/>
  <c r="F77" i="33"/>
  <c r="C78" i="33" s="1"/>
  <c r="G77" i="33"/>
  <c r="K77" i="33" l="1"/>
  <c r="I77" i="33"/>
  <c r="G78" i="33"/>
  <c r="F78" i="33"/>
  <c r="C79" i="33" s="1"/>
  <c r="K78" i="33" l="1"/>
  <c r="I78" i="33"/>
  <c r="F79" i="33"/>
  <c r="C80" i="33" s="1"/>
  <c r="G79" i="33"/>
  <c r="K79" i="33" l="1"/>
  <c r="I79" i="33"/>
  <c r="F80" i="33"/>
  <c r="C81" i="33" s="1"/>
  <c r="G80" i="33"/>
  <c r="K80" i="33" l="1"/>
  <c r="I80" i="33"/>
  <c r="F81" i="33"/>
  <c r="C82" i="33" s="1"/>
  <c r="G81" i="33"/>
  <c r="K81" i="33" l="1"/>
  <c r="I81" i="33"/>
  <c r="G82" i="33"/>
  <c r="F82" i="33"/>
  <c r="C83" i="33" s="1"/>
  <c r="K82" i="33" l="1"/>
  <c r="I82" i="33"/>
  <c r="F83" i="33"/>
  <c r="C84" i="33" s="1"/>
  <c r="G83" i="33"/>
  <c r="K83" i="33" l="1"/>
  <c r="I83" i="33"/>
  <c r="F84" i="33"/>
  <c r="C85" i="33" s="1"/>
  <c r="G84" i="33"/>
  <c r="K84" i="33" l="1"/>
  <c r="I84" i="33"/>
  <c r="F85" i="33"/>
  <c r="C86" i="33" s="1"/>
  <c r="G85" i="33"/>
  <c r="K85" i="33" l="1"/>
  <c r="I85" i="33"/>
  <c r="G86" i="33"/>
  <c r="F86" i="33"/>
  <c r="C87" i="33" s="1"/>
  <c r="K86" i="33" l="1"/>
  <c r="I86" i="33"/>
  <c r="F87" i="33"/>
  <c r="C88" i="33" s="1"/>
  <c r="G87" i="33"/>
  <c r="K87" i="33" l="1"/>
  <c r="I87" i="33"/>
  <c r="F88" i="33"/>
  <c r="C89" i="33" s="1"/>
  <c r="G88" i="33"/>
  <c r="K88" i="33" l="1"/>
  <c r="I88" i="33"/>
  <c r="F89" i="33"/>
  <c r="C90" i="33" s="1"/>
  <c r="G89" i="33"/>
  <c r="K89" i="33" l="1"/>
  <c r="I89" i="33"/>
  <c r="G90" i="33"/>
  <c r="F90" i="33"/>
  <c r="C91" i="33" s="1"/>
  <c r="K90" i="33" l="1"/>
  <c r="I90" i="33"/>
  <c r="F91" i="33"/>
  <c r="C92" i="33" s="1"/>
  <c r="G91" i="33"/>
  <c r="K91" i="33" l="1"/>
  <c r="I91" i="33"/>
  <c r="F92" i="33"/>
  <c r="C93" i="33" s="1"/>
  <c r="G92" i="33"/>
  <c r="K92" i="33" l="1"/>
  <c r="I92" i="33"/>
  <c r="F93" i="33"/>
  <c r="C94" i="33" s="1"/>
  <c r="G93" i="33"/>
  <c r="K93" i="33" l="1"/>
  <c r="I93" i="33"/>
  <c r="G94" i="33"/>
  <c r="F94" i="33"/>
  <c r="C95" i="33" s="1"/>
  <c r="K94" i="33" l="1"/>
  <c r="I94" i="33"/>
  <c r="F95" i="33"/>
  <c r="C96" i="33" s="1"/>
  <c r="G95" i="33"/>
  <c r="K95" i="33" l="1"/>
  <c r="I95" i="33"/>
  <c r="F96" i="33"/>
  <c r="C97" i="33" s="1"/>
  <c r="G96" i="33"/>
  <c r="K96" i="33" l="1"/>
  <c r="I96" i="33"/>
  <c r="F97" i="33"/>
  <c r="C98" i="33" s="1"/>
  <c r="G97" i="33"/>
  <c r="K97" i="33" l="1"/>
  <c r="I97" i="33"/>
  <c r="G98" i="33"/>
  <c r="F98" i="33"/>
  <c r="C99" i="33" s="1"/>
  <c r="K98" i="33" l="1"/>
  <c r="I98" i="33"/>
  <c r="F99" i="33"/>
  <c r="C100" i="33" s="1"/>
  <c r="G99" i="33"/>
  <c r="K99" i="33" l="1"/>
  <c r="I99" i="33"/>
  <c r="F100" i="33"/>
  <c r="C101" i="33" s="1"/>
  <c r="G100" i="33"/>
  <c r="K100" i="33" l="1"/>
  <c r="I100" i="33"/>
  <c r="F101" i="33"/>
  <c r="C102" i="33" s="1"/>
  <c r="G101" i="33"/>
  <c r="K101" i="33" l="1"/>
  <c r="I101" i="33"/>
  <c r="G102" i="33"/>
  <c r="F102" i="33"/>
  <c r="C103" i="33" s="1"/>
  <c r="K102" i="33" l="1"/>
  <c r="I102" i="33"/>
  <c r="F103" i="33"/>
  <c r="C104" i="33" s="1"/>
  <c r="G103" i="33"/>
  <c r="K103" i="33" l="1"/>
  <c r="I103" i="33"/>
  <c r="F104" i="33"/>
  <c r="C105" i="33" s="1"/>
  <c r="G104" i="33"/>
  <c r="K104" i="33" l="1"/>
  <c r="I104" i="33"/>
  <c r="F105" i="33"/>
  <c r="C106" i="33" s="1"/>
  <c r="G105" i="33"/>
  <c r="K105" i="33" l="1"/>
  <c r="I105" i="33"/>
  <c r="G106" i="33"/>
  <c r="F106" i="33"/>
  <c r="C107" i="33" s="1"/>
  <c r="K106" i="33" l="1"/>
  <c r="I106" i="33"/>
  <c r="F107" i="33"/>
  <c r="C108" i="33" s="1"/>
  <c r="G107" i="33"/>
  <c r="K107" i="33" l="1"/>
  <c r="I107" i="33"/>
  <c r="F108" i="33"/>
  <c r="C109" i="33" s="1"/>
  <c r="G108" i="33"/>
  <c r="K108" i="33" l="1"/>
  <c r="I108" i="33"/>
  <c r="F109" i="33"/>
  <c r="C110" i="33" s="1"/>
  <c r="G109" i="33"/>
  <c r="K109" i="33" l="1"/>
  <c r="I109" i="33"/>
  <c r="G110" i="33"/>
  <c r="F110" i="33"/>
  <c r="C111" i="33" s="1"/>
  <c r="K110" i="33" l="1"/>
  <c r="I110" i="33"/>
  <c r="F111" i="33"/>
  <c r="C112" i="33" s="1"/>
  <c r="G111" i="33"/>
  <c r="K111" i="33" l="1"/>
  <c r="I111" i="33"/>
  <c r="F112" i="33"/>
  <c r="C113" i="33" s="1"/>
  <c r="G112" i="33"/>
  <c r="K112" i="33" l="1"/>
  <c r="I112" i="33"/>
  <c r="F113" i="33"/>
  <c r="C114" i="33" s="1"/>
  <c r="G113" i="33"/>
  <c r="K113" i="33" l="1"/>
  <c r="I113" i="33"/>
  <c r="G114" i="33"/>
  <c r="F114" i="33"/>
  <c r="C115" i="33" s="1"/>
  <c r="K114" i="33" l="1"/>
  <c r="I114" i="33"/>
  <c r="F115" i="33"/>
  <c r="C116" i="33" s="1"/>
  <c r="G115" i="33"/>
  <c r="K115" i="33" l="1"/>
  <c r="I115" i="33"/>
  <c r="F116" i="33"/>
  <c r="C117" i="33" s="1"/>
  <c r="G116" i="33"/>
  <c r="K116" i="33" l="1"/>
  <c r="I116" i="33"/>
  <c r="F117" i="33"/>
  <c r="C118" i="33" s="1"/>
  <c r="G117" i="33"/>
  <c r="K117" i="33" l="1"/>
  <c r="I117" i="33"/>
  <c r="G118" i="33"/>
  <c r="F118" i="33"/>
  <c r="C119" i="33" s="1"/>
  <c r="K118" i="33" l="1"/>
  <c r="I118" i="33"/>
  <c r="F119" i="33"/>
  <c r="C120" i="33" s="1"/>
  <c r="G119" i="33"/>
  <c r="K119" i="33" l="1"/>
  <c r="I119" i="33"/>
  <c r="F120" i="33"/>
  <c r="C121" i="33" s="1"/>
  <c r="G120" i="33"/>
  <c r="K120" i="33" l="1"/>
  <c r="I120" i="33"/>
  <c r="F121" i="33"/>
  <c r="C122" i="33" s="1"/>
  <c r="G121" i="33"/>
  <c r="K121" i="33" l="1"/>
  <c r="I121" i="33"/>
  <c r="G122" i="33"/>
  <c r="F122" i="33"/>
  <c r="C123" i="33" s="1"/>
  <c r="K122" i="33" l="1"/>
  <c r="I122" i="33"/>
  <c r="F123" i="33"/>
  <c r="C124" i="33" s="1"/>
  <c r="G123" i="33"/>
  <c r="K123" i="33" l="1"/>
  <c r="I123" i="33"/>
  <c r="F124" i="33"/>
  <c r="C125" i="33" s="1"/>
  <c r="G124" i="33"/>
  <c r="K124" i="33" l="1"/>
  <c r="I124" i="33"/>
  <c r="F125" i="33"/>
  <c r="C126" i="33" s="1"/>
  <c r="G125" i="33"/>
  <c r="K125" i="33" l="1"/>
  <c r="I125" i="33"/>
  <c r="G126" i="33"/>
  <c r="F126" i="33"/>
  <c r="C127" i="33" s="1"/>
  <c r="K126" i="33" l="1"/>
  <c r="I126" i="33"/>
  <c r="F127" i="33"/>
  <c r="C128" i="33" s="1"/>
  <c r="G127" i="33"/>
  <c r="K127" i="33" l="1"/>
  <c r="I127" i="33"/>
  <c r="F128" i="33"/>
  <c r="C129" i="33" s="1"/>
  <c r="G128" i="33"/>
  <c r="K128" i="33" l="1"/>
  <c r="I128" i="33"/>
  <c r="F129" i="33"/>
  <c r="C130" i="33" s="1"/>
  <c r="G129" i="33"/>
  <c r="K129" i="33" l="1"/>
  <c r="I129" i="33"/>
  <c r="G130" i="33"/>
  <c r="F130" i="33"/>
  <c r="C131" i="33" s="1"/>
  <c r="K130" i="33" l="1"/>
  <c r="I130" i="33"/>
  <c r="F131" i="33"/>
  <c r="C132" i="33" s="1"/>
  <c r="G131" i="33"/>
  <c r="K131" i="33" l="1"/>
  <c r="I131" i="33"/>
  <c r="F132" i="33"/>
  <c r="G132" i="33"/>
  <c r="K132" i="33" l="1"/>
  <c r="K133" i="33" s="1"/>
  <c r="I132" i="33"/>
  <c r="G133" i="33"/>
  <c r="D18" i="29" l="1"/>
  <c r="I133" i="33"/>
  <c r="E18" i="29" s="1" a="1"/>
  <c r="E18" i="29" s="1"/>
  <c r="G18" i="29" l="1"/>
  <c r="G22" i="29" s="1"/>
  <c r="D29" i="29" s="1"/>
  <c r="H29" i="29" s="1"/>
  <c r="E22" i="29"/>
  <c r="D27" i="29" s="1"/>
  <c r="D22" i="29"/>
  <c r="F22" i="29"/>
  <c r="D28" i="29" l="1"/>
  <c r="H28" i="29" s="1"/>
  <c r="H27" i="29" l="1"/>
  <c r="D30" i="29"/>
  <c r="H30" i="29" s="1"/>
  <c r="D48" i="29" l="1"/>
  <c r="H48" i="29" s="1"/>
  <c r="D47" i="29" l="1"/>
  <c r="D46" i="29"/>
  <c r="H46" i="29" l="1"/>
  <c r="I11" i="29"/>
  <c r="J11" i="29"/>
  <c r="H47" i="29"/>
  <c r="J47" i="29" l="1"/>
  <c r="K47" i="29"/>
  <c r="J28" i="29"/>
  <c r="K41" i="29"/>
  <c r="J34" i="29"/>
  <c r="J30" i="29"/>
  <c r="K27" i="29"/>
  <c r="K28" i="29"/>
  <c r="J38" i="29"/>
  <c r="K35" i="29"/>
  <c r="K38" i="29"/>
  <c r="J29" i="29"/>
  <c r="K29" i="29"/>
  <c r="J35" i="29"/>
  <c r="K48" i="29"/>
  <c r="K34" i="29"/>
  <c r="J48" i="29"/>
  <c r="J27" i="29"/>
  <c r="J41" i="29"/>
  <c r="K30" i="29"/>
  <c r="I28" i="29"/>
  <c r="I34" i="29"/>
  <c r="I35" i="29"/>
  <c r="D43" i="29"/>
  <c r="I27" i="29"/>
  <c r="I29" i="29"/>
  <c r="I38" i="29"/>
  <c r="I30" i="29"/>
  <c r="I46" i="29"/>
  <c r="F32" i="29" l="1"/>
  <c r="H32" i="29" s="1"/>
  <c r="J32" i="29" l="1"/>
  <c r="K32" i="29"/>
  <c r="I32" i="29"/>
  <c r="D44" i="29" l="1"/>
  <c r="H44" i="29" s="1"/>
  <c r="D45" i="29"/>
  <c r="H45" i="29" s="1"/>
  <c r="J45" i="29" l="1"/>
  <c r="I45" i="29"/>
  <c r="K45" i="29"/>
  <c r="I44" i="29"/>
  <c r="K44" i="29"/>
  <c r="J44" i="29"/>
  <c r="F49" i="29" l="1"/>
  <c r="H49" i="29" s="1"/>
  <c r="K49" i="29" l="1"/>
  <c r="I49" i="29"/>
  <c r="J49" i="29"/>
  <c r="F33" i="29" l="1"/>
  <c r="H33" i="29" s="1"/>
  <c r="F37" i="29"/>
  <c r="H37" i="29" s="1"/>
  <c r="F40" i="29"/>
  <c r="H40" i="29" s="1"/>
  <c r="F42" i="29"/>
  <c r="H42" i="29" s="1"/>
  <c r="F43" i="29"/>
  <c r="H43" i="29" s="1"/>
  <c r="F36" i="29"/>
  <c r="H36" i="29" s="1"/>
  <c r="J36" i="29" s="1"/>
  <c r="I43" i="29" l="1"/>
  <c r="K43" i="29"/>
  <c r="J42" i="29"/>
  <c r="K42" i="29"/>
  <c r="J40" i="29"/>
  <c r="K40" i="29"/>
  <c r="I37" i="29"/>
  <c r="J37" i="29"/>
  <c r="K37" i="29"/>
  <c r="J33" i="29"/>
  <c r="K33" i="29"/>
  <c r="I33" i="29"/>
  <c r="F39" i="29"/>
  <c r="H39" i="29" s="1"/>
  <c r="I39" i="29" s="1"/>
  <c r="I36" i="29"/>
  <c r="K36" i="29"/>
  <c r="F31" i="29"/>
  <c r="H31" i="29"/>
  <c r="I31" i="29" l="1"/>
  <c r="I50" i="29" s="1"/>
  <c r="I52" i="29" s="1"/>
  <c r="K31" i="29"/>
  <c r="K50" i="29" s="1"/>
  <c r="K52" i="29" s="1"/>
  <c r="J31" i="29"/>
  <c r="J50" i="29" s="1"/>
  <c r="J52"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s>
  <commentList>
    <comment ref="E6" authorId="0" shapeId="0" xr:uid="{2F86ED17-2D9F-4688-8619-1A6430C0C99C}">
      <text>
        <r>
          <rPr>
            <sz val="9"/>
            <color indexed="81"/>
            <rFont val="Tahoma"/>
            <family val="2"/>
          </rPr>
          <t>Original external formula:_x000D_
='[NM-GREET_v1.0.xlsm]Fuel_Specs'!$B$84/MJ2Btu</t>
        </r>
      </text>
    </comment>
    <comment ref="E7" authorId="0" shapeId="0" xr:uid="{48123FA2-8D45-483E-A070-DA3DEFBEB08B}">
      <text>
        <r>
          <rPr>
            <sz val="9"/>
            <color indexed="81"/>
            <rFont val="Tahoma"/>
            <family val="2"/>
          </rPr>
          <t>Original external formula:_x000D_
='[NM-GREET_v1.0.xlsm]Fuel_Specs'!$E$84</t>
        </r>
      </text>
    </comment>
    <comment ref="E8" authorId="0" shapeId="0" xr:uid="{92344748-026A-4BEA-99BB-B28BFE6ABD26}">
      <text>
        <r>
          <rPr>
            <sz val="9"/>
            <color indexed="81"/>
            <rFont val="Tahoma"/>
            <family val="2"/>
          </rPr>
          <t>Original external formula:_x000D_
='[NM-GREET_v1.0.xlsm]Fuel_Specs'!$I$84</t>
        </r>
      </text>
    </comment>
    <comment ref="E9" authorId="0" shapeId="0" xr:uid="{44D862E3-E172-4183-A349-C2DF990780B2}">
      <text>
        <r>
          <rPr>
            <sz val="9"/>
            <color indexed="81"/>
            <rFont val="Tahoma"/>
            <family val="2"/>
          </rPr>
          <t>Original external formula:_x000D_
='[NM-GREET_v1.0.xlsm]Fuel_Specs'!$I$81</t>
        </r>
      </text>
    </comment>
    <comment ref="E10" authorId="0" shapeId="0" xr:uid="{825E9941-9C91-4388-ABD2-9786DD8E90AF}">
      <text>
        <r>
          <rPr>
            <sz val="9"/>
            <color indexed="81"/>
            <rFont val="Tahoma"/>
            <family val="2"/>
          </rPr>
          <t>Original external formula:_x000D_
='[NM-GREET_v1.0.xlsm]Fuel_Specs'!$B$37/MJ2Btu</t>
        </r>
      </text>
    </comment>
    <comment ref="E11" authorId="0" shapeId="0" xr:uid="{992324C4-74E9-4E88-AC9C-3CA798D203D9}">
      <text>
        <r>
          <rPr>
            <sz val="9"/>
            <color indexed="81"/>
            <rFont val="Tahoma"/>
            <family val="2"/>
          </rPr>
          <t>Original external formula:_x000D_
='[NM-GREET_v1.0.xlsm]Fuel_Specs'!$B$57/MJ2Btu</t>
        </r>
      </text>
    </comment>
    <comment ref="E15" authorId="0" shapeId="0" xr:uid="{586ACE8E-3430-45A2-BABB-F839054DC1EF}">
      <text>
        <r>
          <rPr>
            <sz val="9"/>
            <color indexed="81"/>
            <rFont val="Tahoma"/>
            <family val="2"/>
          </rPr>
          <t>Original external formula:_x000D_
=(GWP_VOC*'[NM-GREET_v1.0.xlsm]T&amp;D'!$JH$187+
  GWP_N2O*'[NM-GREET_v1.0.xlsm]T&amp;D'!$JH$196+
  GWP_CH4*'[NM-GREET_v1.0.xlsm]T&amp;D'!$JH$195+
  GWP_CO*'[NM-GREET_v1.0.xlsm]T&amp;D'!$JH$188+
  '[NM-GREET_v1.0.xlsm]T&amp;D'!$JH$197)
/'[NM-GREET_v1.0.xlsm]T&amp;D'!$JH$162</t>
        </r>
      </text>
    </comment>
    <comment ref="G15" authorId="0" shapeId="0" xr:uid="{B9C66CDF-F8F7-47A1-ADF3-E652BC127054}">
      <text>
        <r>
          <rPr>
            <sz val="9"/>
            <color indexed="81"/>
            <rFont val="Tahoma"/>
            <family val="2"/>
          </rPr>
          <t>Original external formula:_x000D_
='[NM-GREET_v1.0.xlsm]HDV_TS'!$AH$2086/'[NM-GREET_v1.0.xlsm]HDV_TS'!$AH$2066</t>
        </r>
      </text>
    </comment>
    <comment ref="E16" authorId="0" shapeId="0" xr:uid="{456291AE-6F3D-4893-BA94-22F0D5FCF31F}">
      <text>
        <r>
          <rPr>
            <sz val="9"/>
            <color indexed="81"/>
            <rFont val="Tahoma"/>
            <family val="2"/>
          </rPr>
          <t>Original external formula:_x000D_
=[t1_biomethane_manure.xlsm]Background!$I$43</t>
        </r>
      </text>
    </comment>
    <comment ref="E17" authorId="0" shapeId="0" xr:uid="{EB7DD6BC-FB64-4D52-97CC-A3E5297E9C08}">
      <text>
        <r>
          <rPr>
            <sz val="9"/>
            <color indexed="81"/>
            <rFont val="Tahoma"/>
            <family val="2"/>
          </rPr>
          <t>Original external formula:_x000D_
=[t1_biomethane_manure.xlsm]Background!D50</t>
        </r>
      </text>
    </comment>
    <comment ref="E18" authorId="0" shapeId="0" xr:uid="{E678EE58-2C82-471C-8A02-8889B4FA74C2}">
      <text>
        <r>
          <rPr>
            <sz val="9"/>
            <color indexed="81"/>
            <rFont val="Tahoma"/>
            <family val="2"/>
          </rPr>
          <t>Original external formula:_x000D_
=[t1_biomethane_manure.xlsm]Background!D52</t>
        </r>
      </text>
    </comment>
    <comment ref="E19" authorId="0" shapeId="0" xr:uid="{54736E30-5F1D-45FC-992F-68E55DAF36F6}">
      <text>
        <r>
          <rPr>
            <sz val="9"/>
            <color indexed="81"/>
            <rFont val="Tahoma"/>
            <family val="2"/>
          </rPr>
          <t>Original external formula:_x000D_
=[t1_biomethane_manure.xlsm]Background!D49</t>
        </r>
      </text>
    </comment>
    <comment ref="E22" authorId="0" shapeId="0" xr:uid="{ABA466DF-803A-47DB-A2AF-7FB4952F4132}">
      <text>
        <r>
          <rPr>
            <sz val="9"/>
            <color indexed="81"/>
            <rFont val="Tahoma"/>
            <family val="2"/>
          </rPr>
          <t>Original external formula:_x000D_
='[NM-GREET_v1.0.xlsm]RNG'!$G$155+(1-'[NM-GREET_v1.0.xlsm]RNG'!$G$155)*'[NM-GREET_v1.0.xlsm]RNG'!$E$415</t>
        </r>
      </text>
    </comment>
    <comment ref="E23" authorId="0" shapeId="0" xr:uid="{B1D3BA3A-903D-4412-8332-918AB869F96E}">
      <text>
        <r>
          <rPr>
            <sz val="9"/>
            <color indexed="81"/>
            <rFont val="Tahoma"/>
            <family val="2"/>
          </rPr>
          <t>Original external formula:_x000D_
=[t1_biomethane_manure.xlsm]Background!$D$36</t>
        </r>
      </text>
    </comment>
    <comment ref="E24" authorId="0" shapeId="0" xr:uid="{4EA3A732-F2CA-4E6B-8533-A3FF73593789}">
      <text>
        <r>
          <rPr>
            <sz val="9"/>
            <color indexed="81"/>
            <rFont val="Tahoma"/>
            <family val="2"/>
          </rPr>
          <t>Original external formula:_x000D_
=[t1_biomethane_manure.xlsm]Background!$D$37</t>
        </r>
      </text>
    </comment>
    <comment ref="E25" authorId="0" shapeId="0" xr:uid="{89BC31F6-8324-46BD-B098-F48E2F4A21A8}">
      <text>
        <r>
          <rPr>
            <sz val="9"/>
            <color indexed="81"/>
            <rFont val="Tahoma"/>
            <family val="2"/>
          </rPr>
          <t>Original external formula:_x000D_
=[t1_biomethane_manure.xlsm]Background!$D$38/mmBTU2MJ</t>
        </r>
      </text>
    </comment>
    <comment ref="E26" authorId="0" shapeId="0" xr:uid="{FA67F20C-F590-48A4-A084-3C7E06A03FC9}">
      <text>
        <r>
          <rPr>
            <sz val="9"/>
            <color indexed="81"/>
            <rFont val="Tahoma"/>
            <family val="2"/>
          </rPr>
          <t>Original external formula:_x000D_
=[t1_biomethane_manure.xlsm]Background!$D$39</t>
        </r>
      </text>
    </comment>
    <comment ref="E27" authorId="0" shapeId="0" xr:uid="{10BEFA52-AA0D-4395-80AF-F77D1C28BAAA}">
      <text>
        <r>
          <rPr>
            <sz val="9"/>
            <color indexed="81"/>
            <rFont val="Tahoma"/>
            <family val="2"/>
          </rPr>
          <t>Original external formula:_x000D_
=[t1_biomethane_manure.xlsm]Background!$D$40</t>
        </r>
      </text>
    </comment>
    <comment ref="E28" authorId="0" shapeId="0" xr:uid="{994A7F89-0C73-4292-90FF-29B4C00C2155}">
      <text>
        <r>
          <rPr>
            <sz val="9"/>
            <color indexed="81"/>
            <rFont val="Tahoma"/>
            <family val="2"/>
          </rPr>
          <t>Original external formula:_x000D_
=[t1_biomethane_manure.xlsm]Background!$D$42</t>
        </r>
      </text>
    </comment>
    <comment ref="E29" authorId="0" shapeId="0" xr:uid="{9BDBAD9E-0D59-4C75-8655-E340C66F0A3E}">
      <text>
        <r>
          <rPr>
            <sz val="9"/>
            <color indexed="81"/>
            <rFont val="Tahoma"/>
            <family val="2"/>
          </rPr>
          <t>Original external formula:_x000D_
=[t1_biomethane_manure.xlsm]Background!$J$43</t>
        </r>
      </text>
    </comment>
    <comment ref="E30" authorId="0" shapeId="0" xr:uid="{5F8C0E71-4FB4-4B1E-B526-86B815DA60A1}">
      <text>
        <r>
          <rPr>
            <sz val="9"/>
            <color indexed="81"/>
            <rFont val="Tahoma"/>
            <family val="2"/>
          </rPr>
          <t>Original external formula:_x000D_
=[t1_biomethane_manure.xlsm]Background!$D4</t>
        </r>
      </text>
    </comment>
    <comment ref="E31" authorId="1" shapeId="0" xr:uid="{47CD6624-B562-43D7-8266-380AE20C5141}">
      <text>
        <r>
          <rPr>
            <sz val="9"/>
            <color indexed="81"/>
            <rFont val="Tahoma"/>
            <family val="2"/>
          </rPr>
          <t>NMED:
Input a user defined electricity emission factor here if applicable.</t>
        </r>
      </text>
    </comment>
    <comment ref="E32" authorId="0" shapeId="0" xr:uid="{A7A3AFEA-E010-41D7-A063-A2C161249373}">
      <text>
        <r>
          <rPr>
            <sz val="9"/>
            <color indexed="81"/>
            <rFont val="Tahoma"/>
            <family val="2"/>
          </rPr>
          <t>Original external formula:_x000D_
=[t1_biomethane_manure.xlsm]Background!$D6</t>
        </r>
      </text>
    </comment>
    <comment ref="E33" authorId="0" shapeId="0" xr:uid="{0F6F1796-74C2-43CE-8EB9-F1DEC4942021}">
      <text>
        <r>
          <rPr>
            <sz val="9"/>
            <color indexed="81"/>
            <rFont val="Tahoma"/>
            <family val="2"/>
          </rPr>
          <t>Original external formula:_x000D_
=[t1_biomethane_manure.xlsm]Background!$D7</t>
        </r>
      </text>
    </comment>
    <comment ref="E34" authorId="0" shapeId="0" xr:uid="{E1BE7227-D804-4EB0-8015-0E8AF71FBEFD}">
      <text>
        <r>
          <rPr>
            <sz val="9"/>
            <color indexed="81"/>
            <rFont val="Tahoma"/>
            <family val="2"/>
          </rPr>
          <t>Original external formula:_x000D_
=[t1_biomethane_manure.xlsm]Background!$D8</t>
        </r>
      </text>
    </comment>
    <comment ref="E35" authorId="0" shapeId="0" xr:uid="{A44DC094-D686-4A99-80F6-A6DEA5FFE079}">
      <text>
        <r>
          <rPr>
            <sz val="9"/>
            <color indexed="81"/>
            <rFont val="Tahoma"/>
            <family val="2"/>
          </rPr>
          <t>Original external formula:_x000D_
=[t1_biomethane_manure.xlsm]Background!$D9</t>
        </r>
      </text>
    </comment>
    <comment ref="E36" authorId="0" shapeId="0" xr:uid="{B80E5D83-83E6-49E3-BD8E-F828D9B525B5}">
      <text>
        <r>
          <rPr>
            <sz val="9"/>
            <color indexed="81"/>
            <rFont val="Tahoma"/>
            <family val="2"/>
          </rPr>
          <t>Original external formula:_x000D_
=[t1_biomethane_manure.xlsm]Background!$D10</t>
        </r>
      </text>
    </comment>
    <comment ref="E37" authorId="0" shapeId="0" xr:uid="{C484FE00-5732-42F3-9714-B5A890C92167}">
      <text>
        <r>
          <rPr>
            <sz val="9"/>
            <color indexed="81"/>
            <rFont val="Tahoma"/>
            <family val="2"/>
          </rPr>
          <t>Original external formula:_x000D_
=[t1_biomethane_manure.xlsm]Background!$D11</t>
        </r>
      </text>
    </comment>
    <comment ref="E38" authorId="0" shapeId="0" xr:uid="{1E35158F-4426-48AB-9C76-622062F09980}">
      <text>
        <r>
          <rPr>
            <sz val="9"/>
            <color indexed="81"/>
            <rFont val="Tahoma"/>
            <family val="2"/>
          </rPr>
          <t>Original external formula:_x000D_
=[t1_biomethane_manure.xlsm]Background!$D12</t>
        </r>
      </text>
    </comment>
    <comment ref="E39" authorId="0" shapeId="0" xr:uid="{90BEEA68-45E6-4D19-84B4-56BA32EA7C6C}">
      <text>
        <r>
          <rPr>
            <sz val="9"/>
            <color indexed="81"/>
            <rFont val="Tahoma"/>
            <family val="2"/>
          </rPr>
          <t>Original external formula:_x000D_
=[t1_biomethane_manure.xlsm]Background!$D13</t>
        </r>
      </text>
    </comment>
    <comment ref="E40" authorId="0" shapeId="0" xr:uid="{CB91C504-8D72-4090-A0FD-82E6D1A8DCF3}">
      <text>
        <r>
          <rPr>
            <sz val="9"/>
            <color indexed="81"/>
            <rFont val="Tahoma"/>
            <family val="2"/>
          </rPr>
          <t>Original external formula:_x000D_
=[t1_biomethane_manure.xlsm]Background!$D14</t>
        </r>
      </text>
    </comment>
    <comment ref="E41" authorId="0" shapeId="0" xr:uid="{3A29FD23-015C-4128-9C9D-BBE809045EAD}">
      <text>
        <r>
          <rPr>
            <sz val="9"/>
            <color indexed="81"/>
            <rFont val="Tahoma"/>
            <family val="2"/>
          </rPr>
          <t>Original external formula:_x000D_
=[t1_biomethane_manure.xlsm]Background!$D15</t>
        </r>
      </text>
    </comment>
    <comment ref="E42" authorId="0" shapeId="0" xr:uid="{4D6566C5-EDA4-49D2-8A6A-9F18A0A6685C}">
      <text>
        <r>
          <rPr>
            <sz val="9"/>
            <color indexed="81"/>
            <rFont val="Tahoma"/>
            <family val="2"/>
          </rPr>
          <t>Original external formula:_x000D_
=[t1_biomethane_manure.xlsm]Background!$D16</t>
        </r>
      </text>
    </comment>
    <comment ref="E43" authorId="0" shapeId="0" xr:uid="{5CA7458B-E078-4C09-9CF2-F01C3A859B6B}">
      <text>
        <r>
          <rPr>
            <sz val="9"/>
            <color indexed="81"/>
            <rFont val="Tahoma"/>
            <family val="2"/>
          </rPr>
          <t>Original external formula:_x000D_
=[t1_biomethane_manure.xlsm]Background!$D17</t>
        </r>
      </text>
    </comment>
    <comment ref="E44" authorId="0" shapeId="0" xr:uid="{05EED7F3-77A8-41D9-AC4C-BB37D98EA485}">
      <text>
        <r>
          <rPr>
            <sz val="9"/>
            <color indexed="81"/>
            <rFont val="Tahoma"/>
            <family val="2"/>
          </rPr>
          <t>Original external formula:_x000D_
=[t1_biomethane_manure.xlsm]Background!$D18</t>
        </r>
      </text>
    </comment>
    <comment ref="E45" authorId="0" shapeId="0" xr:uid="{52D181D6-DB57-401A-AD3A-FD60AB8CC408}">
      <text>
        <r>
          <rPr>
            <sz val="9"/>
            <color indexed="81"/>
            <rFont val="Tahoma"/>
            <family val="2"/>
          </rPr>
          <t>Original external formula:_x000D_
=[t1_biomethane_manure.xlsm]Background!$D19</t>
        </r>
      </text>
    </comment>
    <comment ref="E46" authorId="0" shapeId="0" xr:uid="{46EDB92E-D647-4A96-BD38-9B4A04BDD4C1}">
      <text>
        <r>
          <rPr>
            <sz val="9"/>
            <color indexed="81"/>
            <rFont val="Tahoma"/>
            <family val="2"/>
          </rPr>
          <t>Original external formula:_x000D_
=[t1_biomethane_manure.xlsm]Background!$D20</t>
        </r>
      </text>
    </comment>
    <comment ref="E47" authorId="0" shapeId="0" xr:uid="{18CA1C56-C524-4A82-BBC5-06DA42E51C8D}">
      <text>
        <r>
          <rPr>
            <sz val="9"/>
            <color indexed="81"/>
            <rFont val="Tahoma"/>
            <family val="2"/>
          </rPr>
          <t>Original external formula:_x000D_
=[t1_biomethane_manure.xlsm]Background!$D21</t>
        </r>
      </text>
    </comment>
    <comment ref="E48" authorId="0" shapeId="0" xr:uid="{825D64A5-9F30-417A-A93A-2AB20D6EBEA3}">
      <text>
        <r>
          <rPr>
            <sz val="9"/>
            <color indexed="81"/>
            <rFont val="Tahoma"/>
            <family val="2"/>
          </rPr>
          <t>Original external formula:_x000D_
=[t1_biomethane_manure.xlsm]Background!$D22</t>
        </r>
      </text>
    </comment>
    <comment ref="E49" authorId="0" shapeId="0" xr:uid="{A96C7765-B256-4C12-8D8A-9E129F696954}">
      <text>
        <r>
          <rPr>
            <sz val="9"/>
            <color indexed="81"/>
            <rFont val="Tahoma"/>
            <family val="2"/>
          </rPr>
          <t>Original external formula:_x000D_
=[t1_biomethane_manure.xlsm]Background!$D23</t>
        </r>
      </text>
    </comment>
    <comment ref="E50" authorId="0" shapeId="0" xr:uid="{AF4E0099-961C-47CC-B231-EF628A8893D5}">
      <text>
        <r>
          <rPr>
            <sz val="9"/>
            <color indexed="81"/>
            <rFont val="Tahoma"/>
            <family val="2"/>
          </rPr>
          <t>Original external formula:_x000D_
=[t1_biomethane_manure.xlsm]Background!$D24</t>
        </r>
      </text>
    </comment>
    <comment ref="E51" authorId="0" shapeId="0" xr:uid="{128DDD90-8B1E-48A8-9F03-369EE069E972}">
      <text>
        <r>
          <rPr>
            <sz val="9"/>
            <color indexed="81"/>
            <rFont val="Tahoma"/>
            <family val="2"/>
          </rPr>
          <t>Original external formula:_x000D_
=[t1_biomethane_manure.xlsm]Background!$D25</t>
        </r>
      </text>
    </comment>
    <comment ref="E52" authorId="0" shapeId="0" xr:uid="{50622982-9FA1-444D-88C3-154E6F7F69B7}">
      <text>
        <r>
          <rPr>
            <sz val="9"/>
            <color indexed="81"/>
            <rFont val="Tahoma"/>
            <family val="2"/>
          </rPr>
          <t>Original external formula:_x000D_
=[t1_biomethane_manure.xlsm]Background!$D26</t>
        </r>
      </text>
    </comment>
    <comment ref="E53" authorId="0" shapeId="0" xr:uid="{3B410972-7280-4CB8-A82D-E0F97D13FD16}">
      <text>
        <r>
          <rPr>
            <sz val="9"/>
            <color indexed="81"/>
            <rFont val="Tahoma"/>
            <family val="2"/>
          </rPr>
          <t>Original external formula:_x000D_
=[t1_biomethane_manure.xlsm]Background!$D27</t>
        </r>
      </text>
    </comment>
    <comment ref="E54" authorId="0" shapeId="0" xr:uid="{27C3C9E6-D27F-40CC-A51A-A0FC78A0A94F}">
      <text>
        <r>
          <rPr>
            <sz val="9"/>
            <color indexed="81"/>
            <rFont val="Tahoma"/>
            <family val="2"/>
          </rPr>
          <t>Original external formula:_x000D_
=[t1_biomethane_manure.xlsm]Background!$D28</t>
        </r>
      </text>
    </comment>
    <comment ref="E55" authorId="0" shapeId="0" xr:uid="{6568A951-345B-47F5-B370-865002FA7BEA}">
      <text>
        <r>
          <rPr>
            <sz val="9"/>
            <color indexed="81"/>
            <rFont val="Tahoma"/>
            <family val="2"/>
          </rPr>
          <t>Original external formula:_x000D_
=[t1_biomethane_manure.xlsm]Background!$D29</t>
        </r>
      </text>
    </comment>
    <comment ref="E56" authorId="0" shapeId="0" xr:uid="{3BDE2BDA-EEC8-4DF8-A933-A7DB2E5CAB81}">
      <text>
        <r>
          <rPr>
            <sz val="9"/>
            <color indexed="81"/>
            <rFont val="Tahoma"/>
            <family val="2"/>
          </rPr>
          <t>Original external formula:_x000D_
=[t1_biomethane_manure.xlsm]Background!$D30</t>
        </r>
      </text>
    </comment>
    <comment ref="E57" authorId="0" shapeId="0" xr:uid="{DA04553E-11BE-4A4F-881B-334BCEFB9E31}">
      <text>
        <r>
          <rPr>
            <sz val="9"/>
            <color indexed="81"/>
            <rFont val="Tahoma"/>
            <family val="2"/>
          </rPr>
          <t>Original external formula:_x000D_
=[t1_biomethane_manure.xlsm]Background!$D31</t>
        </r>
      </text>
    </comment>
    <comment ref="E58" authorId="0" shapeId="0" xr:uid="{563E52FF-0D35-406F-9C6D-A39D09373749}">
      <text>
        <r>
          <rPr>
            <sz val="9"/>
            <color indexed="81"/>
            <rFont val="Tahoma"/>
            <family val="2"/>
          </rPr>
          <t>Original external formula:_x000D_
=[t1_biomethane_manure.xlsm]Background!$D32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<sst xmlns="http://schemas.openxmlformats.org/spreadsheetml/2006/main" count="468" uniqueCount="333">
  <si>
    <t>Color Key</t>
  </si>
  <si>
    <t>CTFP Website Resources</t>
  </si>
  <si>
    <t>User Input</t>
  </si>
  <si>
    <t>CTFP Program Overview</t>
  </si>
  <si>
    <t>Calculated Value</t>
  </si>
  <si>
    <t>Tier 1 Pathway Calculators and Instruction Manuals</t>
  </si>
  <si>
    <t>Tier 1 Pathway Application Process</t>
  </si>
  <si>
    <t>`</t>
  </si>
  <si>
    <t>Section 1: Applicant Information</t>
  </si>
  <si>
    <t>Section 4: Monthly Operational Data</t>
  </si>
  <si>
    <t>Urban Landscaping Waste (ULW) Feedstock</t>
  </si>
  <si>
    <t>Food Scraps (FS) Feedstock</t>
  </si>
  <si>
    <t xml:space="preserve">Recovered Organics (RO) Feedstock </t>
  </si>
  <si>
    <t>Other Organic Waste (OOW) Feedstock</t>
  </si>
  <si>
    <t>Biogas</t>
  </si>
  <si>
    <t>Process Energy</t>
  </si>
  <si>
    <t>Tail Gas</t>
  </si>
  <si>
    <t>Pipeline Injection</t>
  </si>
  <si>
    <t>Reporting Month</t>
  </si>
  <si>
    <t>Biogas Collected</t>
  </si>
  <si>
    <t>Methane Content</t>
  </si>
  <si>
    <t>Biogas Combusted Onsite</t>
  </si>
  <si>
    <t>Grid Electricity</t>
  </si>
  <si>
    <t>Low-CI Electricity</t>
  </si>
  <si>
    <t>LPG or Propane</t>
  </si>
  <si>
    <t>Diesel</t>
  </si>
  <si>
    <t>Flared Gas</t>
  </si>
  <si>
    <t>Natural Gas Blended</t>
  </si>
  <si>
    <t>LPG or Propane Blended</t>
  </si>
  <si>
    <t>Total Gas Injected</t>
  </si>
  <si>
    <t>MM/YYYY</t>
  </si>
  <si>
    <t>kWh</t>
  </si>
  <si>
    <t>gallons</t>
  </si>
  <si>
    <t>Section 2: Pathway Inputs</t>
  </si>
  <si>
    <t>Section 3: Static Operational Data</t>
  </si>
  <si>
    <t>Tier 1 Organic Waste Biomethane Pathway Summary</t>
  </si>
  <si>
    <t>FOR APPLICANT ONLY - CONTAINS CONFIDENTIAL BUSINESS INFORMATION - DO NOT DISTRIBUTE</t>
  </si>
  <si>
    <t>Applicant Information</t>
  </si>
  <si>
    <t>Biomethane Quantities</t>
  </si>
  <si>
    <t>Loss Factors</t>
  </si>
  <si>
    <t>Application #</t>
  </si>
  <si>
    <t>MJ, LHV</t>
  </si>
  <si>
    <t xml:space="preserve">Bio-CNG </t>
  </si>
  <si>
    <t>Bio-LNG / Bio L-CNG</t>
  </si>
  <si>
    <t>Company Name and ID</t>
  </si>
  <si>
    <t>At Digester Outlet</t>
  </si>
  <si>
    <t>Fuel Production Facility ID</t>
  </si>
  <si>
    <t>Pipeline Injected</t>
  </si>
  <si>
    <t>Operational Data Period</t>
  </si>
  <si>
    <t>Avoided Emissions</t>
  </si>
  <si>
    <t>Feedstock Category</t>
  </si>
  <si>
    <t xml:space="preserve">Feedstock Input to Digester </t>
  </si>
  <si>
    <t>Generation Potential in Landfill</t>
  </si>
  <si>
    <t>Avoided Methane Fugitives</t>
  </si>
  <si>
    <t>Avoided Flaring</t>
  </si>
  <si>
    <t>Urban Landscaping Waste (ULW)</t>
  </si>
  <si>
    <t>Food Scraps (FS)</t>
  </si>
  <si>
    <t>Recovered Organics (RO)</t>
  </si>
  <si>
    <t>Other Organic Waste (OOW)</t>
  </si>
  <si>
    <t>Adjusted Total</t>
  </si>
  <si>
    <t>Carbon Intensity Calculations</t>
  </si>
  <si>
    <t>Fuel Pathway Inputs</t>
  </si>
  <si>
    <t>Emission Factors</t>
  </si>
  <si>
    <t xml:space="preserve">Emissions </t>
  </si>
  <si>
    <t>Category</t>
  </si>
  <si>
    <t>Name</t>
  </si>
  <si>
    <t>Value</t>
  </si>
  <si>
    <t>Unit</t>
  </si>
  <si>
    <t>Bio-CNG</t>
  </si>
  <si>
    <t>Bio-LNG</t>
  </si>
  <si>
    <t>Bio-L-CNG</t>
  </si>
  <si>
    <t>Methane</t>
  </si>
  <si>
    <r>
      <t>g CH</t>
    </r>
    <r>
      <rPr>
        <vertAlign val="subscript"/>
        <sz val="11"/>
        <color theme="1"/>
        <rFont val="Calibri"/>
        <family val="2"/>
        <scheme val="minor"/>
      </rPr>
      <t>4</t>
    </r>
  </si>
  <si>
    <t>Nitrous Oxide</t>
  </si>
  <si>
    <r>
      <t>g N</t>
    </r>
    <r>
      <rPr>
        <vertAlign val="subscript"/>
        <sz val="11"/>
        <color theme="1"/>
        <rFont val="Calibri"/>
        <family val="2"/>
        <scheme val="minor"/>
      </rPr>
      <t>2</t>
    </r>
    <r>
      <rPr>
        <sz val="11"/>
        <color theme="1"/>
        <rFont val="Calibri"/>
        <family val="2"/>
        <scheme val="minor"/>
      </rPr>
      <t>O</t>
    </r>
  </si>
  <si>
    <t>Landfill Gas Flaring</t>
  </si>
  <si>
    <t xml:space="preserve"> </t>
  </si>
  <si>
    <r>
      <t>CO</t>
    </r>
    <r>
      <rPr>
        <vertAlign val="subscript"/>
        <sz val="11"/>
        <color theme="1"/>
        <rFont val="Calibri"/>
        <family val="2"/>
        <scheme val="minor"/>
      </rPr>
      <t>2</t>
    </r>
    <r>
      <rPr>
        <sz val="11"/>
        <color theme="1"/>
        <rFont val="Calibri"/>
        <family val="2"/>
        <scheme val="minor"/>
      </rPr>
      <t xml:space="preserve"> Balance</t>
    </r>
  </si>
  <si>
    <r>
      <t>g CO</t>
    </r>
    <r>
      <rPr>
        <vertAlign val="subscript"/>
        <sz val="11"/>
        <color theme="1"/>
        <rFont val="Calibri"/>
        <family val="2"/>
        <scheme val="minor"/>
      </rPr>
      <t>2</t>
    </r>
  </si>
  <si>
    <t>Feedstock Transport</t>
  </si>
  <si>
    <t>Truck</t>
  </si>
  <si>
    <t>short ton-miles</t>
  </si>
  <si>
    <t>Tail Gas Destruction</t>
  </si>
  <si>
    <t>Pipeline Transport Energy</t>
  </si>
  <si>
    <t>To Bio-CNG Station</t>
  </si>
  <si>
    <t>MJ-miles, LHV</t>
  </si>
  <si>
    <t>To Liquefaction Facility</t>
  </si>
  <si>
    <t>LNG / L-CNG Production and Transport</t>
  </si>
  <si>
    <t>Liquefaction Process</t>
  </si>
  <si>
    <t>MJ LNG</t>
  </si>
  <si>
    <t>Truck Transport</t>
  </si>
  <si>
    <t>CNG Station</t>
  </si>
  <si>
    <t>Compression at Fueling Station</t>
  </si>
  <si>
    <t>MJ</t>
  </si>
  <si>
    <t>Fugitive Methane</t>
  </si>
  <si>
    <t>Anaerobic Digestion</t>
  </si>
  <si>
    <t>Biogas Upgrading</t>
  </si>
  <si>
    <t>Pipeline to CNG Station</t>
  </si>
  <si>
    <t>Pipeline to LNG or L-CNG Station</t>
  </si>
  <si>
    <t>LNG Trucking</t>
  </si>
  <si>
    <t xml:space="preserve">Vehicle Tailpipe </t>
  </si>
  <si>
    <r>
      <t>Non-CO</t>
    </r>
    <r>
      <rPr>
        <vertAlign val="subscript"/>
        <sz val="11"/>
        <color theme="1"/>
        <rFont val="Calibri"/>
        <family val="2"/>
        <scheme val="minor"/>
      </rPr>
      <t>2</t>
    </r>
    <r>
      <rPr>
        <sz val="11"/>
        <color theme="1"/>
        <rFont val="Calibri"/>
        <family val="2"/>
        <scheme val="minor"/>
      </rPr>
      <t xml:space="preserve"> Emissions</t>
    </r>
  </si>
  <si>
    <t>Margin of Safety (entered by applicant)</t>
  </si>
  <si>
    <t>Operating Conditions</t>
  </si>
  <si>
    <t>Section 7. References</t>
  </si>
  <si>
    <t>CalRecycle (2022). 2021 Disposal Facility-based Characterization of Solid Waste in California</t>
  </si>
  <si>
    <t>U.S. EPA (2020). Documentation for Greenhouse Gas Emission and Energy Factors Used in the Waste Reduction Model (WARM). Management Practices Chapters</t>
  </si>
  <si>
    <t>Feedstock</t>
  </si>
  <si>
    <t>short wet ton</t>
  </si>
  <si>
    <t>Anaerobically Degradable Fraction
(Exhibit 6-6)</t>
  </si>
  <si>
    <t>Decay Rate, National Average
(Exhibit 6-8)</t>
  </si>
  <si>
    <t>Ratio of Dry Weight to Wet Weight
(Exhibit 6-13)</t>
  </si>
  <si>
    <t>Newspaper</t>
  </si>
  <si>
    <t>Office Paper</t>
  </si>
  <si>
    <t>Corrugated Boxes</t>
  </si>
  <si>
    <t>Coated Paper</t>
  </si>
  <si>
    <t>Food</t>
  </si>
  <si>
    <t>Grass</t>
  </si>
  <si>
    <t>Leaves</t>
  </si>
  <si>
    <t>Branches</t>
  </si>
  <si>
    <t xml:space="preserve">Dimensional Lumber </t>
  </si>
  <si>
    <t xml:space="preserve">Medium Density Fiberboard </t>
  </si>
  <si>
    <t>Wood Flooring</t>
  </si>
  <si>
    <t>Method for Estimating Greenhouse Gas Emission Reductions from Diversion of Organic Waste from Landfills to Compost Facilities. CARB. 2017</t>
  </si>
  <si>
    <t>tier1-ow-calculator-corrected (CA-GREET3.0)</t>
  </si>
  <si>
    <t>Year</t>
  </si>
  <si>
    <t>Gas Collection Scenario 1: Typical Phased</t>
  </si>
  <si>
    <t xml:space="preserve">Gas Collection Scenario 2: Phased with Shutdown </t>
  </si>
  <si>
    <t>Diverted from Landfill</t>
  </si>
  <si>
    <t>Diverted from Composting</t>
  </si>
  <si>
    <t>1-2</t>
  </si>
  <si>
    <t>4-5</t>
  </si>
  <si>
    <t>6-10</t>
  </si>
  <si>
    <t>11-60</t>
  </si>
  <si>
    <t>61-100</t>
  </si>
  <si>
    <t>Section 7.1 IPCC First Order Decay Model for Urban Landscaping Waste</t>
  </si>
  <si>
    <t>Decay Rate (k)</t>
  </si>
  <si>
    <t>Oxidation Factor</t>
  </si>
  <si>
    <t>M (months)</t>
  </si>
  <si>
    <t>ANDOCys</t>
  </si>
  <si>
    <t>ANDOCdly</t>
  </si>
  <si>
    <t>ANDOCdsy</t>
  </si>
  <si>
    <t>Methane Generation</t>
  </si>
  <si>
    <t>ANDOC ys</t>
  </si>
  <si>
    <t>ANDOC dly</t>
  </si>
  <si>
    <t>ANDOC dsy</t>
  </si>
  <si>
    <t>ANDOC ye</t>
  </si>
  <si>
    <t>Gas Collection Efficiency (%)</t>
  </si>
  <si>
    <t>Sum of Emissions over 100 years</t>
  </si>
  <si>
    <t>Section 7.2 IPCC First Order Decay Model for Food Scraps</t>
  </si>
  <si>
    <t>Section 7.3 IPCC First Order Decay Model for Recovered Organics</t>
  </si>
  <si>
    <t>Section 7.3 IPCC First Order Decay Model for Other Organic Waste</t>
  </si>
  <si>
    <t>Unit Conversion</t>
  </si>
  <si>
    <t>Sub-Category</t>
  </si>
  <si>
    <t>Energy</t>
  </si>
  <si>
    <t>1 kJ</t>
  </si>
  <si>
    <t>1 MJ</t>
  </si>
  <si>
    <t>1 kWh</t>
  </si>
  <si>
    <t>Fuel Specifications</t>
  </si>
  <si>
    <t>Energy Density</t>
  </si>
  <si>
    <t>Specific Density</t>
  </si>
  <si>
    <t>Heating Value Ratio</t>
  </si>
  <si>
    <t>Natural Gas</t>
  </si>
  <si>
    <t>Liquefied Natural Gas (LNG)</t>
  </si>
  <si>
    <t>Liquefied Petroleum Gas (LPG)</t>
  </si>
  <si>
    <t>Greenhouse Gas Properties</t>
  </si>
  <si>
    <t>Molar Mass</t>
  </si>
  <si>
    <t>Carbon (C)</t>
  </si>
  <si>
    <r>
      <t>Methane (CH</t>
    </r>
    <r>
      <rPr>
        <vertAlign val="subscript"/>
        <sz val="11"/>
        <color theme="1"/>
        <rFont val="Calibri"/>
        <family val="2"/>
        <scheme val="minor"/>
      </rPr>
      <t>4</t>
    </r>
    <r>
      <rPr>
        <sz val="11"/>
        <color theme="1"/>
        <rFont val="Calibri"/>
        <family val="2"/>
        <scheme val="minor"/>
      </rPr>
      <t>)</t>
    </r>
  </si>
  <si>
    <t>Mass</t>
  </si>
  <si>
    <t>1 g</t>
  </si>
  <si>
    <t>1 kg</t>
  </si>
  <si>
    <t>1 MT</t>
  </si>
  <si>
    <t>1 lb</t>
  </si>
  <si>
    <t>1 short ton</t>
  </si>
  <si>
    <r>
      <t>Carbon Dioxide (CO</t>
    </r>
    <r>
      <rPr>
        <vertAlign val="subscript"/>
        <sz val="11"/>
        <color theme="1"/>
        <rFont val="Calibri"/>
        <family val="2"/>
        <scheme val="minor"/>
      </rPr>
      <t>2</t>
    </r>
    <r>
      <rPr>
        <sz val="11"/>
        <color theme="1"/>
        <rFont val="Calibri"/>
        <family val="2"/>
        <scheme val="minor"/>
      </rPr>
      <t>)</t>
    </r>
  </si>
  <si>
    <t>Feedstock Collection</t>
  </si>
  <si>
    <t>HHDT</t>
  </si>
  <si>
    <t>Anaerobic Digestion and Biogas Upgrading</t>
  </si>
  <si>
    <t>Volume</t>
  </si>
  <si>
    <t>1 L</t>
  </si>
  <si>
    <t>1 gal</t>
  </si>
  <si>
    <t>In Flare or Thermal Oxidizer (TO)</t>
  </si>
  <si>
    <t>Flaring Methane Slip</t>
  </si>
  <si>
    <t>Fugitive Methane Defaults</t>
  </si>
  <si>
    <t xml:space="preserve">Digester Leakage and Biogas Upgrading </t>
  </si>
  <si>
    <t>Biomethane Transport</t>
  </si>
  <si>
    <t xml:space="preserve">Pipeline </t>
  </si>
  <si>
    <t>Fugitives</t>
  </si>
  <si>
    <t>Transport Energy</t>
  </si>
  <si>
    <t>LNG Truck</t>
  </si>
  <si>
    <t>LNG Transport</t>
  </si>
  <si>
    <r>
      <t>Fugitive CH</t>
    </r>
    <r>
      <rPr>
        <vertAlign val="subscript"/>
        <sz val="11"/>
        <color theme="1"/>
        <rFont val="Calibri"/>
        <family val="2"/>
        <scheme val="minor"/>
      </rPr>
      <t>4</t>
    </r>
    <r>
      <rPr>
        <sz val="11"/>
        <color theme="1"/>
        <rFont val="Calibri"/>
        <family val="2"/>
        <scheme val="minor"/>
      </rPr>
      <t xml:space="preserve"> - With Boil-Off Recovery</t>
    </r>
  </si>
  <si>
    <r>
      <t>Fugitive CH</t>
    </r>
    <r>
      <rPr>
        <vertAlign val="subscript"/>
        <sz val="11"/>
        <color theme="1"/>
        <rFont val="Calibri"/>
        <family val="2"/>
        <scheme val="minor"/>
      </rPr>
      <t>4</t>
    </r>
    <r>
      <rPr>
        <sz val="11"/>
        <color theme="1"/>
        <rFont val="Calibri"/>
        <family val="2"/>
        <scheme val="minor"/>
      </rPr>
      <t xml:space="preserve"> - Without Boil-Off Recovery</t>
    </r>
  </si>
  <si>
    <t>Compression</t>
  </si>
  <si>
    <t>at Fueling Station</t>
  </si>
  <si>
    <t>U.S. Average</t>
  </si>
  <si>
    <t>FRCC</t>
  </si>
  <si>
    <t>1 Btu</t>
  </si>
  <si>
    <t>mmBtu, LHV</t>
  </si>
  <si>
    <t>1 mL</t>
  </si>
  <si>
    <t>CI (g CO2e/MJ)</t>
  </si>
  <si>
    <t>g CO2e</t>
  </si>
  <si>
    <t>g CO2e/gCH4</t>
  </si>
  <si>
    <t>g CO2e/gN2O</t>
  </si>
  <si>
    <t>g CO2e/mmBtu, LHV</t>
  </si>
  <si>
    <t xml:space="preserve">g CO2e/g CO2 </t>
  </si>
  <si>
    <t>g CO2e/short ton-mile</t>
  </si>
  <si>
    <t>g CO2e/kWh</t>
  </si>
  <si>
    <t>g CO2e/gallon</t>
  </si>
  <si>
    <t>g CO2e/MJ-Mile, LHV</t>
  </si>
  <si>
    <t>g CO2e/MJ LNG</t>
  </si>
  <si>
    <t>g CO2e/MJ, LHV</t>
  </si>
  <si>
    <t>g CO2e/g CH4</t>
  </si>
  <si>
    <t>1 Wh</t>
  </si>
  <si>
    <t>1 mmBtu</t>
  </si>
  <si>
    <t>%v / v (CH4 / biogas)</t>
  </si>
  <si>
    <t>3.2 Grid Electricity EF (g CO2e / kWh)</t>
  </si>
  <si>
    <t>3.3 Low-CI Electricity EF (g CO2e / kWh)</t>
  </si>
  <si>
    <t>3.7 Liquefaction EF (g CO2e / gallon)</t>
  </si>
  <si>
    <t>% of organic MSW in CA disposed waste stream (%m / m, dry basis)</t>
  </si>
  <si>
    <t>Total Degradable Organic Carbon (TDOC, dry w / w) 
(Exhibit 6-4)</t>
  </si>
  <si>
    <t>ANDOC (MT / short ton dry waste)</t>
  </si>
  <si>
    <t>Avoided Composting Emissions (g / wet kg feedstock)</t>
  </si>
  <si>
    <t>ANDOC (MT C / dry short ton waste)</t>
  </si>
  <si>
    <t xml:space="preserve">MT CH4 Gen / dry short ton </t>
  </si>
  <si>
    <t xml:space="preserve">MT CH4 Emitted / dry short ton </t>
  </si>
  <si>
    <t>LHV / HHV</t>
  </si>
  <si>
    <t>g / mol</t>
  </si>
  <si>
    <t>g CO2e / short ton-mile</t>
  </si>
  <si>
    <t>g CO2e / mmBtu, LHV</t>
  </si>
  <si>
    <t>g CH4  /  mmBtu, LHV</t>
  </si>
  <si>
    <t>g CO2e / MJ, LHV</t>
  </si>
  <si>
    <t>User Defined Mix</t>
  </si>
  <si>
    <t>Biomethane</t>
  </si>
  <si>
    <t>mmBtu, HHV</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</si>
  <si>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</si>
  <si>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</si>
  <si>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</si>
  <si>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</si>
  <si>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</si>
  <si>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</si>
  <si>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</si>
  <si>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</si>
  <si>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</si>
  <si>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</si>
  <si>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</si>
  <si>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</si>
  <si>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</si>
  <si>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</si>
  <si>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</si>
  <si>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</si>
  <si>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</si>
  <si>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</si>
  <si>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</si>
  <si>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</si>
  <si>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</si>
  <si>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</si>
  <si>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</si>
  <si>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</si>
  <si>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</si>
  <si>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</si>
  <si>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</si>
  <si>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</si>
  <si>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IPCC AR5 100-year Global Warming Potential (GWP) of GHGs relative to CO2</t>
  </si>
  <si>
    <t>CO2</t>
  </si>
  <si>
    <t>VOC</t>
  </si>
  <si>
    <t>CH4</t>
  </si>
  <si>
    <t>CO</t>
  </si>
  <si>
    <t>N2O</t>
  </si>
  <si>
    <t>Carbon Ratios of Pollutants</t>
  </si>
  <si>
    <t>joule (J)</t>
  </si>
  <si>
    <t>kilojoule (kJ)</t>
  </si>
  <si>
    <t>megajoule (MJ)</t>
  </si>
  <si>
    <t>watt hour (Wh)</t>
  </si>
  <si>
    <t>kilowatt hour (kWh)</t>
  </si>
  <si>
    <t>British thermal unit (Btu)</t>
  </si>
  <si>
    <t>million Btu (mmBtu)</t>
  </si>
  <si>
    <t>gram (g)</t>
  </si>
  <si>
    <t>kilogram (kg)</t>
  </si>
  <si>
    <t>liter (L)</t>
  </si>
  <si>
    <t>pound (lb)</t>
  </si>
  <si>
    <t>short ton (US ton)</t>
  </si>
  <si>
    <t>cubic meter (m3)</t>
  </si>
  <si>
    <t>milliliter (mL)</t>
  </si>
  <si>
    <t>gallon (gal)</t>
  </si>
  <si>
    <t>cubic foot (ft3)</t>
  </si>
  <si>
    <t>%volume / mile</t>
  </si>
  <si>
    <t>g / ft3</t>
  </si>
  <si>
    <t>MJ, LHV / gal @ 60°F</t>
  </si>
  <si>
    <t>MJ, LHV / ft3 @ 60°F</t>
  </si>
  <si>
    <t>g CO2e / gal</t>
  </si>
  <si>
    <t>g CO2e / mile-MJ, LHV</t>
  </si>
  <si>
    <t>End Use</t>
  </si>
  <si>
    <t>Tailpipe Emissions</t>
  </si>
  <si>
    <t>Calculated Fuel Pathway Carbon Intensity (g CO2e / MJ, LHV)</t>
  </si>
  <si>
    <t>Fuel Pathway Carbon Intensity for Certification (g CO2e / MJ, LHV)</t>
  </si>
  <si>
    <t>dry short ton</t>
  </si>
  <si>
    <r>
      <t>MT CH</t>
    </r>
    <r>
      <rPr>
        <vertAlign val="subscript"/>
        <sz val="12"/>
        <color rgb="FFFFFFFF"/>
        <rFont val="Calibri"/>
        <family val="2"/>
        <scheme val="minor"/>
      </rPr>
      <t>4</t>
    </r>
  </si>
  <si>
    <r>
      <t>Avoided N</t>
    </r>
    <r>
      <rPr>
        <vertAlign val="subscript"/>
        <sz val="12"/>
        <color rgb="FFFFFFFF"/>
        <rFont val="Calibri"/>
        <family val="2"/>
        <scheme val="minor"/>
      </rPr>
      <t>2</t>
    </r>
    <r>
      <rPr>
        <sz val="12"/>
        <color rgb="FFFFFFFF"/>
        <rFont val="Calibri"/>
        <family val="2"/>
        <scheme val="minor"/>
      </rPr>
      <t>O Fugitives</t>
    </r>
  </si>
  <si>
    <r>
      <t>MT CH</t>
    </r>
    <r>
      <rPr>
        <vertAlign val="subscript"/>
        <sz val="11"/>
        <color rgb="FFFFFFFF"/>
        <rFont val="Calibri"/>
        <family val="2"/>
        <scheme val="minor"/>
      </rPr>
      <t>4</t>
    </r>
  </si>
  <si>
    <r>
      <t>MT N</t>
    </r>
    <r>
      <rPr>
        <vertAlign val="subscript"/>
        <sz val="11"/>
        <color rgb="FFFFFFFF"/>
        <rFont val="Calibri"/>
        <family val="2"/>
        <scheme val="minor"/>
      </rPr>
      <t>2</t>
    </r>
    <r>
      <rPr>
        <sz val="11"/>
        <color rgb="FFFFFFFF"/>
        <rFont val="Calibri"/>
        <family val="2"/>
        <scheme val="minor"/>
      </rPr>
      <t>O</t>
    </r>
  </si>
  <si>
    <r>
      <rPr>
        <b/>
        <sz val="12"/>
        <color rgb="FFFFFFFF"/>
        <rFont val="Calibri"/>
        <family val="2"/>
      </rPr>
      <t xml:space="preserve">1.1 </t>
    </r>
    <r>
      <rPr>
        <sz val="12"/>
        <color rgb="FFFFFFFF"/>
        <rFont val="Calibri"/>
        <family val="2"/>
      </rPr>
      <t>Application Number</t>
    </r>
  </si>
  <si>
    <r>
      <rPr>
        <b/>
        <sz val="12"/>
        <color rgb="FFFFFFFF"/>
        <rFont val="Calibri"/>
        <family val="2"/>
      </rPr>
      <t xml:space="preserve">1.2 </t>
    </r>
    <r>
      <rPr>
        <sz val="12"/>
        <color rgb="FFFFFFFF"/>
        <rFont val="Calibri"/>
        <family val="2"/>
      </rPr>
      <t>Company Name</t>
    </r>
  </si>
  <si>
    <r>
      <rPr>
        <b/>
        <sz val="12"/>
        <color rgb="FFFFFFFF"/>
        <rFont val="Calibri"/>
        <family val="2"/>
      </rPr>
      <t>1.3</t>
    </r>
    <r>
      <rPr>
        <sz val="12"/>
        <color rgb="FFFFFFFF"/>
        <rFont val="Calibri"/>
        <family val="2"/>
      </rPr>
      <t xml:space="preserve"> Company ID</t>
    </r>
  </si>
  <si>
    <r>
      <rPr>
        <b/>
        <sz val="12"/>
        <color rgb="FFFFFFFF"/>
        <rFont val="Calibri"/>
        <family val="2"/>
      </rPr>
      <t>1.4</t>
    </r>
    <r>
      <rPr>
        <sz val="12"/>
        <color rgb="FFFFFFFF"/>
        <rFont val="Calibri"/>
        <family val="2"/>
      </rPr>
      <t xml:space="preserve"> Fuel Production Facility ID</t>
    </r>
  </si>
  <si>
    <r>
      <t>ft</t>
    </r>
    <r>
      <rPr>
        <vertAlign val="superscript"/>
        <sz val="12"/>
        <color rgb="FFFFFFFF"/>
        <rFont val="Calibri"/>
        <family val="2"/>
      </rPr>
      <t>3</t>
    </r>
    <r>
      <rPr>
        <sz val="12"/>
        <color rgb="FFFFFFFF"/>
        <rFont val="Calibri"/>
        <family val="2"/>
      </rPr>
      <t xml:space="preserve"> @ 60</t>
    </r>
    <r>
      <rPr>
        <vertAlign val="superscript"/>
        <sz val="12"/>
        <color rgb="FFFFFFFF"/>
        <rFont val="Calibri"/>
        <family val="2"/>
      </rPr>
      <t>o</t>
    </r>
    <r>
      <rPr>
        <sz val="12"/>
        <color rgb="FFFFFFFF"/>
        <rFont val="Calibri"/>
        <family val="2"/>
      </rPr>
      <t>F, 1 atm</t>
    </r>
  </si>
  <si>
    <r>
      <t xml:space="preserve">2.1 </t>
    </r>
    <r>
      <rPr>
        <sz val="12"/>
        <color rgb="FFFFFFFF"/>
        <rFont val="Calibri"/>
        <family val="2"/>
      </rPr>
      <t>Organic Waste Feedstocks</t>
    </r>
  </si>
  <si>
    <r>
      <t xml:space="preserve">2.2 </t>
    </r>
    <r>
      <rPr>
        <sz val="12"/>
        <color rgb="FFFFFFFF"/>
        <rFont val="Calibri"/>
        <family val="2"/>
      </rPr>
      <t>Process Energy</t>
    </r>
  </si>
  <si>
    <r>
      <rPr>
        <b/>
        <sz val="12"/>
        <color rgb="FFFFFFFF"/>
        <rFont val="Calibri"/>
        <family val="2"/>
      </rPr>
      <t xml:space="preserve">2.3 </t>
    </r>
    <r>
      <rPr>
        <sz val="12"/>
        <color rgb="FFFFFFFF"/>
        <rFont val="Calibri"/>
        <family val="2"/>
      </rPr>
      <t>Blended Fossil Fuels</t>
    </r>
  </si>
  <si>
    <r>
      <rPr>
        <b/>
        <sz val="12"/>
        <color rgb="FFFFFFFF"/>
        <rFont val="Calibri"/>
        <family val="2"/>
      </rPr>
      <t>2.4</t>
    </r>
    <r>
      <rPr>
        <sz val="12"/>
        <color rgb="FFFFFFFF"/>
        <rFont val="Calibri"/>
        <family val="2"/>
      </rPr>
      <t xml:space="preserve"> Finished Fuels</t>
    </r>
  </si>
  <si>
    <r>
      <rPr>
        <b/>
        <sz val="12"/>
        <color rgb="FFFFFFFF"/>
        <rFont val="Calibri"/>
        <family val="2"/>
      </rPr>
      <t>3.1</t>
    </r>
    <r>
      <rPr>
        <sz val="12"/>
        <color rgb="FFFFFFFF"/>
        <rFont val="Calibri"/>
        <family val="2"/>
      </rPr>
      <t xml:space="preserve"> Electricity Grid Region</t>
    </r>
  </si>
  <si>
    <r>
      <rPr>
        <b/>
        <sz val="12"/>
        <color rgb="FFFFFFFF"/>
        <rFont val="Calibri"/>
        <family val="2"/>
      </rPr>
      <t>3.4</t>
    </r>
    <r>
      <rPr>
        <sz val="12"/>
        <color rgb="FFFFFFFF"/>
        <rFont val="Calibri"/>
        <family val="2"/>
      </rPr>
      <t xml:space="preserve"> Distance to CNG Station (miles)</t>
    </r>
  </si>
  <si>
    <r>
      <rPr>
        <b/>
        <sz val="12"/>
        <color rgb="FFFFFFFF"/>
        <rFont val="Calibri"/>
        <family val="2"/>
      </rPr>
      <t>3.5</t>
    </r>
    <r>
      <rPr>
        <sz val="12"/>
        <color rgb="FFFFFFFF"/>
        <rFont val="Calibri"/>
        <family val="2"/>
      </rPr>
      <t xml:space="preserve"> LNG Facility ID</t>
    </r>
  </si>
  <si>
    <r>
      <rPr>
        <b/>
        <sz val="12"/>
        <color rgb="FFFFFFFF"/>
        <rFont val="Calibri"/>
        <family val="2"/>
      </rPr>
      <t>3.6</t>
    </r>
    <r>
      <rPr>
        <sz val="12"/>
        <color rgb="FFFFFFFF"/>
        <rFont val="Calibri"/>
        <family val="2"/>
      </rPr>
      <t xml:space="preserve"> Distance to LNG Facility (miles)</t>
    </r>
  </si>
  <si>
    <r>
      <rPr>
        <b/>
        <sz val="12"/>
        <color rgb="FFFFFFFF"/>
        <rFont val="Calibri"/>
        <family val="2"/>
      </rPr>
      <t>3.8</t>
    </r>
    <r>
      <rPr>
        <sz val="12"/>
        <color rgb="FFFFFFFF"/>
        <rFont val="Calibri"/>
        <family val="2"/>
      </rPr>
      <t xml:space="preserve"> Bio-LNG Trucking Distance (miles)</t>
    </r>
  </si>
  <si>
    <r>
      <rPr>
        <b/>
        <sz val="12"/>
        <color rgb="FFFFFFFF"/>
        <rFont val="Calibri"/>
        <family val="2"/>
      </rPr>
      <t xml:space="preserve">3.9 </t>
    </r>
    <r>
      <rPr>
        <sz val="12"/>
        <color rgb="FFFFFFFF"/>
        <rFont val="Calibri"/>
        <family val="2"/>
      </rPr>
      <t>Bio-LNG Truck Type</t>
    </r>
  </si>
  <si>
    <r>
      <rPr>
        <b/>
        <sz val="12"/>
        <color rgb="FFFFFFFF"/>
        <rFont val="Calibri"/>
        <family val="2"/>
      </rPr>
      <t xml:space="preserve">3.10 </t>
    </r>
    <r>
      <rPr>
        <sz val="12"/>
        <color rgb="FFFFFFFF"/>
        <rFont val="Calibri"/>
        <family val="2"/>
      </rPr>
      <t>OOW - % Diverted from Landfill</t>
    </r>
  </si>
  <si>
    <r>
      <rPr>
        <b/>
        <sz val="12"/>
        <color rgb="FFFFFFFF"/>
        <rFont val="Calibri"/>
        <family val="2"/>
      </rPr>
      <t xml:space="preserve">3.11 </t>
    </r>
    <r>
      <rPr>
        <sz val="12"/>
        <color rgb="FFFFFFFF"/>
        <rFont val="Calibri"/>
        <family val="2"/>
      </rPr>
      <t>OOW - % Diverted from Composting</t>
    </r>
  </si>
  <si>
    <r>
      <rPr>
        <b/>
        <sz val="12"/>
        <color rgb="FFFFFFFF"/>
        <rFont val="Calibri"/>
        <family val="2"/>
      </rPr>
      <t>3.12</t>
    </r>
    <r>
      <rPr>
        <sz val="12"/>
        <color rgb="FFFFFFFF"/>
        <rFont val="Calibri"/>
        <family val="2"/>
      </rPr>
      <t xml:space="preserve"> OOW - TDOC (% dry basis)</t>
    </r>
  </si>
  <si>
    <r>
      <rPr>
        <b/>
        <sz val="12"/>
        <color rgb="FFFFFFFF"/>
        <rFont val="Calibri"/>
        <family val="2"/>
      </rPr>
      <t>3.13</t>
    </r>
    <r>
      <rPr>
        <sz val="12"/>
        <color rgb="FFFFFFFF"/>
        <rFont val="Calibri"/>
        <family val="2"/>
      </rPr>
      <t xml:space="preserve"> OOW - DANF (%)</t>
    </r>
  </si>
  <si>
    <r>
      <t xml:space="preserve">3.14 </t>
    </r>
    <r>
      <rPr>
        <sz val="12"/>
        <color rgb="FFFFFFFF"/>
        <rFont val="Calibri"/>
        <family val="2"/>
      </rPr>
      <t>OOW - Decay Rate (k)</t>
    </r>
  </si>
  <si>
    <r>
      <t>CH</t>
    </r>
    <r>
      <rPr>
        <vertAlign val="subscript"/>
        <sz val="11"/>
        <color rgb="FFFFFFFF"/>
        <rFont val="Calibri"/>
        <family val="2"/>
        <scheme val="minor"/>
      </rPr>
      <t>4</t>
    </r>
  </si>
  <si>
    <r>
      <t>N</t>
    </r>
    <r>
      <rPr>
        <vertAlign val="subscript"/>
        <sz val="11"/>
        <color rgb="FFFFFFFF"/>
        <rFont val="Calibri"/>
        <family val="2"/>
        <scheme val="minor"/>
      </rPr>
      <t>2</t>
    </r>
    <r>
      <rPr>
        <sz val="11"/>
        <color rgb="FFFFFFFF"/>
        <rFont val="Calibri"/>
        <family val="2"/>
        <scheme val="minor"/>
      </rPr>
      <t>O</t>
    </r>
  </si>
  <si>
    <r>
      <t>FCH</t>
    </r>
    <r>
      <rPr>
        <vertAlign val="subscript"/>
        <sz val="11"/>
        <color rgb="FFFFFFFF"/>
        <rFont val="Calibri"/>
        <family val="2"/>
        <scheme val="minor"/>
      </rPr>
      <t>4</t>
    </r>
  </si>
  <si>
    <r>
      <t>Mass CH</t>
    </r>
    <r>
      <rPr>
        <vertAlign val="subscript"/>
        <sz val="11"/>
        <color rgb="FFFFFFFF"/>
        <rFont val="Calibri"/>
        <family val="2"/>
        <scheme val="minor"/>
      </rPr>
      <t>4</t>
    </r>
    <r>
      <rPr>
        <sz val="11"/>
        <color rgb="FFFFFFFF"/>
        <rFont val="Calibri"/>
        <family val="2"/>
        <scheme val="minor"/>
      </rPr>
      <t>:C</t>
    </r>
  </si>
  <si>
    <r>
      <t>1 m</t>
    </r>
    <r>
      <rPr>
        <b/>
        <vertAlign val="superscript"/>
        <sz val="12"/>
        <color rgb="FFFFFFFF"/>
        <rFont val="Calibri"/>
        <family val="2"/>
        <scheme val="minor"/>
      </rPr>
      <t>3</t>
    </r>
  </si>
  <si>
    <r>
      <t>1 ft</t>
    </r>
    <r>
      <rPr>
        <b/>
        <vertAlign val="superscript"/>
        <sz val="12"/>
        <color rgb="FFFFFFFF"/>
        <rFont val="Calibri"/>
        <family val="2"/>
        <scheme val="minor"/>
      </rPr>
      <t>3</t>
    </r>
  </si>
  <si>
    <t>The Tier 1 CI Calculator for Organic Waste Biomethane (T1 OW Calculator) calculates the carbon intensity (CI) of biogas derived from organic waste that is upgraded to biomethane and used as compressed natural gas (Bio-CNG), liquefied natural gas (Bio-LNG), or regasified liquefied natural gas (Bio-L-CNG) transportation fuel.
Use the worksheets as follows:
• Use the "SiteSpecificInputs" worksheet to enter applicant information, select pathway inputs, provide static operational data, and enter monthly organic waste feedstock, biogas collection, process energy, tail gas, fossil fuel blending, and pipeline injection data.
• Use the "AvoidedEmissions" worksheet to review calculated avoided landfilling and composting emissions used in the pathway CI calculation.
• Use the "PathwaySummary" worksheet to review applicant information, biomethane quantities, loss factors, avoided emissions, calculated CI results, margin of safety, CI for certification, and pathway-specific Operating Conditions.
• Use the "Background" worksheet to review predefined emission factors, fuel specifications, unit conversions, global warming potentials, carbon ratios, and other reference values used in the calculator.
Enter data only in user input cells. Support all user inputs with records. Do not modify calculated cells or predefined NM-GREETv1.0 input values without NMED approval.
Complete all applicable inputs in the "SiteSpecificInputs" worksheet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</si>
  <si>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NM-GREETv1.0 Input</t>
  </si>
  <si>
    <t>Pathway CI Results</t>
  </si>
  <si>
    <t xml:space="preserve"> NM-GREETv1.0 Emission Factors and Specifications</t>
  </si>
  <si>
    <r>
      <t>Clean Transportation Fuel Program
Tier 1 CI Calculator for Organic Waste Biomethane (Release Date:</t>
    </r>
    <r>
      <rPr>
        <b/>
        <sz val="14"/>
        <color rgb="FFFF0000"/>
        <rFont val="Calibri"/>
        <family val="2"/>
      </rPr>
      <t xml:space="preserve"> </t>
    </r>
    <r>
      <rPr>
        <b/>
        <sz val="14"/>
        <rFont val="Calibri"/>
        <family val="2"/>
      </rPr>
      <t>07/01/2026</t>
    </r>
    <r>
      <rPr>
        <b/>
        <sz val="14"/>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</si>
</sst>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0"/>
    <numFmt numFmtId="169" formatCode="#,##0.0000"/>
    <numFmt numFmtId="170" formatCode="0.000"/>
    <numFmt numFmtId="171" formatCode="0.0%"/>
    <numFmt numFmtId="172" formatCode="0.00_);[Red]\(0.00\)"/>
    <numFmt numFmtId="173" formatCode="#,##0.00;[Red]#,##0.00"/>
    <numFmt numFmtId="174" formatCode="0.0"/>
    <numFmt numFmtId="175" formatCode="#,##0.000000"/>
    <numFmt numFmtId="176" formatCode="0.0000"/>
    <numFmt numFmtId="177" formatCode="0.000000"/>
    <numFmt numFmtId="178" formatCode="_ [$€-2]\ * #,##0.00_ ;_ [$€-2]\ * \-#,##0.00_ ;_ [$€-2]\ * &quot;-&quot;??_ "/>
    <numFmt numFmtId="179" formatCode="[$-409]mmmm\-yy;@"/>
    <numFmt numFmtId="180" formatCode="0.00.E+00"/>
    <numFmt numFmtId="181" formatCode="mm/yyyy"/>
    <numFmt numFmtId="182" formatCode="#,##0.00000_);\(#,##0.00000\)"/>
    <numFmt numFmtId="183" formatCode="[=0]&quot; &quot;;0.00E+00"/>
    <numFmt numFmtId="184" formatCode="[=0]&quot; &quot;;#,##0"/>
    <numFmt numFmtId="185" formatCode="0.00000"/>
    <numFmt numFmtId="186" formatCode="#,##0.00;\-#,##0.00;;@\,"/>
    <numFmt numFmtId="187" formatCode="[=0]&quot; &quot;;##.0%"/>
    <numFmt numFmtId="188" formatCode="0.0000000"/>
    <numFmt numFmtId="189" formatCode="[=0]&quot; &quot;;#,##0.00"/>
    <numFmt numFmtId="190" formatCode="[=0]&quot; &quot;;#,##0.0000"/>
    <numFmt numFmtId="191" formatCode="0.0E+00"/>
    <numFmt numFmtId="192" formatCode="0.000E+00"/>
  </numFmts>
  <fonts count="89"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b/>
      <sz val="16"/>
      <color theme="0"/>
      <name val="Calibri"/>
      <family val="2"/>
    </font>
    <font>
      <b/>
      <sz val="11"/>
      <name val="Calibri"/>
      <family val="2"/>
    </font>
    <font>
      <sz val="12"/>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b/>
      <sz val="12"/>
      <color theme="0"/>
      <name val="Calibri"/>
      <family val="2"/>
      <scheme val="minor"/>
    </font>
    <font>
      <sz val="12"/>
      <color theme="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sz val="8"/>
      <name val="Calibri"/>
      <family val="2"/>
      <scheme val="minor"/>
    </font>
    <font>
      <u/>
      <sz val="11"/>
      <color theme="10"/>
      <name val="Calibri"/>
      <family val="2"/>
      <scheme val="minor"/>
    </font>
    <font>
      <b/>
      <sz val="18"/>
      <color indexed="56"/>
      <name val="Cambria"/>
      <family val="2"/>
    </font>
    <font>
      <b/>
      <sz val="14"/>
      <color theme="1"/>
      <name val="Calibri"/>
      <family val="2"/>
    </font>
    <font>
      <sz val="14"/>
      <color theme="0"/>
      <name val="Calibri"/>
      <family val="2"/>
      <scheme val="minor"/>
    </font>
    <font>
      <u/>
      <sz val="11"/>
      <color theme="1"/>
      <name val="Calibri"/>
      <family val="2"/>
    </font>
    <font>
      <vertAlign val="subscript"/>
      <sz val="11"/>
      <color theme="1"/>
      <name val="Calibri"/>
      <family val="2"/>
      <scheme val="minor"/>
    </font>
    <font>
      <sz val="12"/>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b/>
      <sz val="11"/>
      <name val="Calibri"/>
      <family val="2"/>
      <scheme val="minor"/>
    </font>
    <font>
      <b/>
      <sz val="14"/>
      <color theme="0"/>
      <name val="Arial"/>
      <family val="2"/>
    </font>
    <font>
      <b/>
      <sz val="12"/>
      <color theme="0"/>
      <name val="Arial"/>
      <family val="2"/>
    </font>
    <font>
      <sz val="11"/>
      <name val="Arial"/>
      <family val="2"/>
    </font>
    <font>
      <b/>
      <sz val="14"/>
      <color rgb="FFFF0000"/>
      <name val="Calibri"/>
      <family val="2"/>
    </font>
    <font>
      <b/>
      <sz val="14"/>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20"/>
      <color rgb="FFFFFFFF"/>
      <name val="Calibri"/>
      <family val="2"/>
      <scheme val="minor"/>
    </font>
    <font>
      <sz val="12"/>
      <color rgb="FFFFFFFF"/>
      <name val="Calibri"/>
      <family val="2"/>
      <scheme val="minor"/>
    </font>
    <font>
      <vertAlign val="subscript"/>
      <sz val="12"/>
      <color rgb="FFFFFFFF"/>
      <name val="Calibri"/>
      <family val="2"/>
      <scheme val="minor"/>
    </font>
    <font>
      <vertAlign val="subscript"/>
      <sz val="11"/>
      <color rgb="FFFFFFFF"/>
      <name val="Calibri"/>
      <family val="2"/>
      <scheme val="minor"/>
    </font>
    <font>
      <b/>
      <sz val="11"/>
      <color rgb="FFFFFFFF"/>
      <name val="Calibri"/>
      <family val="2"/>
      <scheme val="minor"/>
    </font>
    <font>
      <sz val="11"/>
      <color rgb="FF000000"/>
      <name val="Calibri"/>
      <family val="2"/>
    </font>
    <font>
      <b/>
      <sz val="14"/>
      <color rgb="FF000000"/>
      <name val="Calibri"/>
      <family val="2"/>
      <scheme val="minor"/>
    </font>
    <font>
      <vertAlign val="superscript"/>
      <sz val="12"/>
      <color rgb="FFFFFFFF"/>
      <name val="Calibri"/>
      <family val="2"/>
    </font>
    <font>
      <b/>
      <sz val="11"/>
      <color rgb="FF000000"/>
      <name val="Calibri"/>
      <family val="2"/>
      <scheme val="minor"/>
    </font>
    <font>
      <sz val="10"/>
      <color rgb="FFFFFFFF"/>
      <name val="Calibri"/>
      <family val="2"/>
      <scheme val="minor"/>
    </font>
    <font>
      <b/>
      <vertAlign val="superscript"/>
      <sz val="12"/>
      <color rgb="FFFFFFFF"/>
      <name val="Calibri"/>
      <family val="2"/>
      <scheme val="minor"/>
    </font>
    <font>
      <b/>
      <sz val="12"/>
      <color rgb="FFFFFFFF"/>
      <name val="Calibri"/>
      <family val="2"/>
      <scheme val="minor"/>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F2F2F2"/>
      </patternFill>
    </fill>
    <fill>
      <patternFill patternType="solid">
        <fgColor indexed="9"/>
        <bgColor indexed="64"/>
      </patternFill>
    </fill>
    <fill>
      <patternFill patternType="solid">
        <fgColor rgb="FF026773"/>
        <bgColor indexed="64"/>
      </patternFill>
    </fill>
    <fill>
      <patternFill patternType="solid">
        <fgColor rgb="FFF1E1C0"/>
        <bgColor indexed="64"/>
      </patternFill>
    </fill>
    <fill>
      <patternFill patternType="solid">
        <fgColor rgb="FF718C55"/>
        <bgColor indexed="64"/>
      </patternFill>
    </fill>
    <fill>
      <patternFill patternType="solid">
        <fgColor rgb="FFFFA168"/>
        <bgColor indexed="64"/>
      </patternFill>
    </fill>
    <fill>
      <patternFill patternType="solid">
        <fgColor rgb="FFF4F1E2"/>
        <bgColor indexed="64"/>
      </patternFill>
    </fill>
    <fill>
      <patternFill patternType="solid">
        <fgColor rgb="FFA0A0A0"/>
        <bgColor indexed="64"/>
      </patternFill>
    </fill>
    <fill>
      <patternFill patternType="solid">
        <fgColor rgb="FFFFFFCC"/>
        <bgColor indexed="64"/>
      </patternFill>
    </fill>
    <fill>
      <patternFill patternType="solid">
        <fgColor rgb="FFD9D9D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s>
  <cellStyleXfs count="5939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178" fontId="23" fillId="2" borderId="0" applyNumberFormat="0" applyBorder="0" applyAlignment="0" applyProtection="0"/>
    <xf numFmtId="178" fontId="23" fillId="3" borderId="0" applyNumberFormat="0" applyBorder="0" applyAlignment="0" applyProtection="0"/>
    <xf numFmtId="178" fontId="23" fillId="4" borderId="0" applyNumberFormat="0" applyBorder="0" applyAlignment="0" applyProtection="0"/>
    <xf numFmtId="178" fontId="23" fillId="5" borderId="0" applyNumberFormat="0" applyBorder="0" applyAlignment="0" applyProtection="0"/>
    <xf numFmtId="178" fontId="23" fillId="6" borderId="0" applyNumberFormat="0" applyBorder="0" applyAlignment="0" applyProtection="0"/>
    <xf numFmtId="178" fontId="23" fillId="7" borderId="0" applyNumberFormat="0" applyBorder="0" applyAlignment="0" applyProtection="0"/>
    <xf numFmtId="178" fontId="23" fillId="8" borderId="0" applyNumberFormat="0" applyBorder="0" applyAlignment="0" applyProtection="0"/>
    <xf numFmtId="178" fontId="23" fillId="9" borderId="0" applyNumberFormat="0" applyBorder="0" applyAlignment="0" applyProtection="0"/>
    <xf numFmtId="178" fontId="23" fillId="10" borderId="0" applyNumberFormat="0" applyBorder="0" applyAlignment="0" applyProtection="0"/>
    <xf numFmtId="178" fontId="23" fillId="5" borderId="0" applyNumberFormat="0" applyBorder="0" applyAlignment="0" applyProtection="0"/>
    <xf numFmtId="178" fontId="23" fillId="8" borderId="0" applyNumberFormat="0" applyBorder="0" applyAlignment="0" applyProtection="0"/>
    <xf numFmtId="178" fontId="23" fillId="11" borderId="0" applyNumberFormat="0" applyBorder="0" applyAlignment="0" applyProtection="0"/>
    <xf numFmtId="178" fontId="24" fillId="12" borderId="0" applyNumberFormat="0" applyBorder="0" applyAlignment="0" applyProtection="0"/>
    <xf numFmtId="178" fontId="24" fillId="9" borderId="0" applyNumberFormat="0" applyBorder="0" applyAlignment="0" applyProtection="0"/>
    <xf numFmtId="178" fontId="24" fillId="10" borderId="0" applyNumberFormat="0" applyBorder="0" applyAlignment="0" applyProtection="0"/>
    <xf numFmtId="178" fontId="24" fillId="13" borderId="0" applyNumberFormat="0" applyBorder="0" applyAlignment="0" applyProtection="0"/>
    <xf numFmtId="178" fontId="24" fillId="14" borderId="0" applyNumberFormat="0" applyBorder="0" applyAlignment="0" applyProtection="0"/>
    <xf numFmtId="178" fontId="24" fillId="15" borderId="0" applyNumberFormat="0" applyBorder="0" applyAlignment="0" applyProtection="0"/>
    <xf numFmtId="178" fontId="24" fillId="16" borderId="0" applyNumberFormat="0" applyBorder="0" applyAlignment="0" applyProtection="0"/>
    <xf numFmtId="178" fontId="24" fillId="17" borderId="0" applyNumberFormat="0" applyBorder="0" applyAlignment="0" applyProtection="0"/>
    <xf numFmtId="178" fontId="24" fillId="18" borderId="0" applyNumberFormat="0" applyBorder="0" applyAlignment="0" applyProtection="0"/>
    <xf numFmtId="178" fontId="24" fillId="13" borderId="0" applyNumberFormat="0" applyBorder="0" applyAlignment="0" applyProtection="0"/>
    <xf numFmtId="178" fontId="24" fillId="14" borderId="0" applyNumberFormat="0" applyBorder="0" applyAlignment="0" applyProtection="0"/>
    <xf numFmtId="178" fontId="24" fillId="19" borderId="0" applyNumberFormat="0" applyBorder="0" applyAlignment="0" applyProtection="0"/>
    <xf numFmtId="178" fontId="25" fillId="3" borderId="0" applyNumberFormat="0" applyBorder="0" applyAlignment="0" applyProtection="0"/>
    <xf numFmtId="178" fontId="26" fillId="20" borderId="9" applyNumberFormat="0" applyAlignment="0" applyProtection="0"/>
    <xf numFmtId="178" fontId="27" fillId="21" borderId="10"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8" fontId="28" fillId="0" borderId="0" applyNumberFormat="0" applyFill="0" applyBorder="0" applyAlignment="0" applyProtection="0"/>
    <xf numFmtId="178" fontId="29" fillId="4" borderId="0" applyNumberFormat="0" applyBorder="0" applyAlignment="0" applyProtection="0"/>
    <xf numFmtId="178" fontId="30" fillId="0" borderId="11" applyNumberFormat="0" applyFill="0" applyAlignment="0" applyProtection="0"/>
    <xf numFmtId="178" fontId="31" fillId="0" borderId="12" applyNumberFormat="0" applyFill="0" applyAlignment="0" applyProtection="0"/>
    <xf numFmtId="178" fontId="32" fillId="0" borderId="13" applyNumberFormat="0" applyFill="0" applyAlignment="0" applyProtection="0"/>
    <xf numFmtId="178" fontId="32" fillId="0" borderId="0" applyNumberFormat="0" applyFill="0" applyBorder="0" applyAlignment="0" applyProtection="0"/>
    <xf numFmtId="178" fontId="34" fillId="7" borderId="9" applyNumberFormat="0" applyAlignment="0" applyProtection="0"/>
    <xf numFmtId="178" fontId="35" fillId="0" borderId="14" applyNumberFormat="0" applyFill="0" applyAlignment="0" applyProtection="0"/>
    <xf numFmtId="178" fontId="36" fillId="22" borderId="0" applyNumberFormat="0" applyBorder="0" applyAlignment="0" applyProtection="0"/>
    <xf numFmtId="178" fontId="2" fillId="23" borderId="15" applyNumberFormat="0" applyFont="0" applyAlignment="0" applyProtection="0"/>
    <xf numFmtId="178" fontId="37" fillId="20" borderId="16" applyNumberFormat="0" applyAlignment="0" applyProtection="0"/>
    <xf numFmtId="9" fontId="2" fillId="0" borderId="0" applyFont="0" applyFill="0" applyBorder="0" applyAlignment="0" applyProtection="0"/>
    <xf numFmtId="178" fontId="38" fillId="0" borderId="0" applyNumberFormat="0" applyFill="0" applyBorder="0" applyAlignment="0" applyProtection="0"/>
    <xf numFmtId="178" fontId="39" fillId="0" borderId="17" applyNumberFormat="0" applyFill="0" applyAlignment="0" applyProtection="0"/>
    <xf numFmtId="178" fontId="40" fillId="0" borderId="0" applyNumberFormat="0" applyFill="0" applyBorder="0" applyAlignment="0" applyProtection="0"/>
    <xf numFmtId="3" fontId="2" fillId="0" borderId="0" applyFon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9" applyNumberFormat="0" applyAlignment="0" applyProtection="0"/>
    <xf numFmtId="0" fontId="27" fillId="21" borderId="10" applyNumberFormat="0" applyAlignment="0" applyProtection="0"/>
    <xf numFmtId="43" fontId="2"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11" applyNumberFormat="0" applyFill="0" applyAlignment="0" applyProtection="0"/>
    <xf numFmtId="0" fontId="31" fillId="0" borderId="12" applyNumberFormat="0" applyFill="0" applyAlignment="0" applyProtection="0"/>
    <xf numFmtId="0" fontId="32" fillId="0" borderId="13"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7" borderId="9" applyNumberFormat="0" applyAlignment="0" applyProtection="0"/>
    <xf numFmtId="0" fontId="35" fillId="0" borderId="14" applyNumberFormat="0" applyFill="0" applyAlignment="0" applyProtection="0"/>
    <xf numFmtId="0" fontId="36" fillId="22" borderId="0" applyNumberFormat="0" applyBorder="0" applyAlignment="0" applyProtection="0"/>
    <xf numFmtId="0" fontId="2" fillId="23" borderId="15" applyNumberFormat="0" applyFont="0" applyAlignment="0" applyProtection="0"/>
    <xf numFmtId="0" fontId="37" fillId="20" borderId="16" applyNumberFormat="0" applyAlignment="0" applyProtection="0"/>
    <xf numFmtId="0" fontId="38" fillId="0" borderId="0" applyNumberFormat="0" applyFill="0" applyBorder="0" applyAlignment="0" applyProtection="0"/>
    <xf numFmtId="0" fontId="39" fillId="0" borderId="17" applyNumberFormat="0" applyFill="0" applyAlignment="0" applyProtection="0"/>
    <xf numFmtId="0" fontId="40" fillId="0" borderId="0" applyNumberFormat="0" applyFill="0" applyBorder="0" applyAlignment="0" applyProtection="0"/>
    <xf numFmtId="0" fontId="23" fillId="2" borderId="0" applyNumberFormat="0" applyBorder="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0" fillId="0" borderId="11"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6" fillId="20" borderId="9" applyNumberFormat="0" applyAlignment="0" applyProtection="0"/>
    <xf numFmtId="0" fontId="37" fillId="20" borderId="16" applyNumberForma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1" fillId="0" borderId="12" applyNumberFormat="0" applyFill="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0" fillId="0" borderId="11"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1" fillId="0" borderId="12"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1" fillId="0" borderId="12"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1" fillId="0" borderId="12" applyNumberFormat="0" applyFill="0" applyAlignment="0" applyProtection="0"/>
    <xf numFmtId="0" fontId="39" fillId="0" borderId="17" applyNumberFormat="0" applyFill="0" applyAlignment="0" applyProtection="0"/>
    <xf numFmtId="0" fontId="31" fillId="0" borderId="12"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1" fillId="0" borderId="12" applyNumberFormat="0" applyFill="0" applyAlignment="0" applyProtection="0"/>
    <xf numFmtId="0" fontId="30" fillId="0" borderId="11"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0" fillId="0" borderId="11" applyNumberFormat="0" applyFill="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30" fillId="0" borderId="11"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0" fillId="0" borderId="11"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1" fillId="0" borderId="12"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41" fillId="0" borderId="0"/>
    <xf numFmtId="9" fontId="41"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3" fillId="24" borderId="0" applyNumberFormat="0" applyBorder="0" applyAlignment="0" applyProtection="0"/>
    <xf numFmtId="0" fontId="23" fillId="7"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0" borderId="0" applyNumberFormat="0" applyBorder="0" applyAlignment="0" applyProtection="0"/>
    <xf numFmtId="0" fontId="23" fillId="22" borderId="0" applyNumberFormat="0" applyBorder="0" applyAlignment="0" applyProtection="0"/>
    <xf numFmtId="0" fontId="23" fillId="20" borderId="0" applyNumberFormat="0" applyBorder="0" applyAlignment="0" applyProtection="0"/>
    <xf numFmtId="0" fontId="23" fillId="7"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7" borderId="0" applyNumberFormat="0" applyBorder="0" applyAlignment="0" applyProtection="0"/>
    <xf numFmtId="0" fontId="24" fillId="1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42" fillId="3" borderId="0" applyNumberFormat="0" applyBorder="0" applyAlignment="0" applyProtection="0"/>
    <xf numFmtId="0" fontId="26" fillId="24" borderId="9" applyNumberFormat="0" applyAlignment="0" applyProtection="0"/>
    <xf numFmtId="0" fontId="43" fillId="0" borderId="18" applyNumberFormat="0" applyFill="0" applyAlignment="0" applyProtection="0"/>
    <xf numFmtId="0" fontId="44" fillId="0" borderId="12"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2" fillId="0" borderId="0"/>
    <xf numFmtId="0" fontId="46" fillId="0" borderId="0"/>
    <xf numFmtId="0" fontId="2" fillId="0" borderId="0"/>
    <xf numFmtId="0" fontId="41" fillId="0" borderId="0"/>
    <xf numFmtId="0" fontId="23" fillId="23" borderId="15" applyNumberFormat="0" applyFont="0" applyAlignment="0" applyProtection="0"/>
    <xf numFmtId="0" fontId="37" fillId="24" borderId="16" applyNumberFormat="0" applyAlignment="0" applyProtection="0"/>
    <xf numFmtId="9" fontId="2" fillId="0" borderId="0" applyFont="0" applyFill="0" applyBorder="0" applyAlignment="0" applyProtection="0"/>
    <xf numFmtId="9" fontId="41" fillId="0" borderId="0" applyFont="0" applyFill="0" applyBorder="0" applyAlignment="0" applyProtection="0"/>
    <xf numFmtId="0" fontId="47" fillId="0" borderId="0" applyNumberFormat="0" applyFill="0" applyBorder="0" applyAlignment="0" applyProtection="0"/>
    <xf numFmtId="0" fontId="39" fillId="0" borderId="20" applyNumberFormat="0" applyFill="0" applyAlignment="0" applyProtection="0"/>
    <xf numFmtId="0" fontId="48" fillId="0" borderId="0" applyNumberFormat="0" applyFill="0" applyBorder="0" applyAlignment="0" applyProtection="0">
      <alignment vertical="top"/>
      <protection locked="0"/>
    </xf>
    <xf numFmtId="43" fontId="41" fillId="0" borderId="0" applyFont="0" applyFill="0" applyBorder="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43" fillId="0" borderId="18" applyNumberFormat="0" applyFill="0" applyAlignment="0" applyProtection="0"/>
    <xf numFmtId="0" fontId="44" fillId="0" borderId="12"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0" fontId="2" fillId="23" borderId="15" applyNumberFormat="0" applyFont="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5" fillId="3" borderId="0" applyNumberFormat="0" applyBorder="0" applyAlignment="0" applyProtection="0"/>
    <xf numFmtId="0" fontId="26" fillId="20" borderId="9"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2" fillId="0" borderId="13" applyNumberFormat="0" applyFill="0" applyAlignment="0" applyProtection="0"/>
    <xf numFmtId="0" fontId="32" fillId="0" borderId="0" applyNumberFormat="0" applyFill="0" applyBorder="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9" fontId="2" fillId="0" borderId="0" applyFont="0" applyFill="0" applyBorder="0" applyAlignment="0" applyProtection="0"/>
    <xf numFmtId="0" fontId="38" fillId="0" borderId="0" applyNumberFormat="0" applyFill="0" applyBorder="0" applyAlignment="0" applyProtection="0"/>
    <xf numFmtId="0" fontId="39" fillId="0" borderId="17" applyNumberFormat="0" applyFill="0" applyAlignment="0" applyProtection="0"/>
    <xf numFmtId="0" fontId="23" fillId="2" borderId="0" applyNumberFormat="0" applyBorder="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6" fillId="24" borderId="9"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1" fillId="0" borderId="0"/>
    <xf numFmtId="43" fontId="1" fillId="0" borderId="0" applyFont="0" applyFill="0" applyBorder="0" applyAlignment="0" applyProtection="0"/>
    <xf numFmtId="0" fontId="1" fillId="0" borderId="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4"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4" borderId="9" applyNumberFormat="0" applyAlignment="0" applyProtection="0"/>
    <xf numFmtId="0" fontId="37" fillId="20"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6" fillId="24" borderId="9" applyNumberFormat="0" applyAlignment="0" applyProtection="0"/>
    <xf numFmtId="0" fontId="26" fillId="20"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4" fillId="7" borderId="9" applyNumberFormat="0" applyAlignment="0" applyProtection="0"/>
    <xf numFmtId="0" fontId="23" fillId="23" borderId="15" applyNumberFormat="0" applyFont="0" applyAlignment="0" applyProtection="0"/>
    <xf numFmtId="0" fontId="37" fillId="20" borderId="16"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4" borderId="16" applyNumberFormat="0" applyAlignment="0" applyProtection="0"/>
    <xf numFmtId="0" fontId="26" fillId="24" borderId="9"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3" fillId="23" borderId="15" applyNumberFormat="0" applyFont="0" applyAlignment="0" applyProtection="0"/>
    <xf numFmtId="0" fontId="26" fillId="24" borderId="9" applyNumberFormat="0" applyAlignment="0" applyProtection="0"/>
    <xf numFmtId="0" fontId="39" fillId="0" borderId="17" applyNumberFormat="0" applyFill="0" applyAlignment="0" applyProtection="0"/>
    <xf numFmtId="0" fontId="37" fillId="24" borderId="16" applyNumberFormat="0" applyAlignment="0" applyProtection="0"/>
    <xf numFmtId="0" fontId="23" fillId="23" borderId="15" applyNumberFormat="0" applyFont="0" applyAlignment="0" applyProtection="0"/>
    <xf numFmtId="0" fontId="34" fillId="7" borderId="9" applyNumberFormat="0" applyAlignment="0" applyProtection="0"/>
    <xf numFmtId="0" fontId="37" fillId="24"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26" fillId="24" borderId="9" applyNumberFormat="0" applyAlignment="0" applyProtection="0"/>
    <xf numFmtId="0" fontId="26" fillId="24" borderId="9" applyNumberFormat="0" applyAlignment="0" applyProtection="0"/>
    <xf numFmtId="0" fontId="39" fillId="0" borderId="20" applyNumberFormat="0" applyFill="0" applyAlignment="0" applyProtection="0"/>
    <xf numFmtId="0" fontId="26" fillId="24"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37" fillId="20" borderId="16" applyNumberFormat="0" applyAlignment="0" applyProtection="0"/>
    <xf numFmtId="0" fontId="37" fillId="24" borderId="16" applyNumberFormat="0" applyAlignment="0" applyProtection="0"/>
    <xf numFmtId="0" fontId="26" fillId="20" borderId="9" applyNumberFormat="0" applyAlignment="0" applyProtection="0"/>
    <xf numFmtId="0" fontId="26" fillId="24" borderId="9" applyNumberFormat="0" applyAlignment="0" applyProtection="0"/>
    <xf numFmtId="0" fontId="23"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20"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20" applyNumberFormat="0" applyFill="0" applyAlignment="0" applyProtection="0"/>
    <xf numFmtId="0" fontId="34" fillId="7" borderId="9"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39" fillId="0" borderId="17" applyNumberFormat="0" applyFill="0" applyAlignment="0" applyProtection="0"/>
    <xf numFmtId="0" fontId="39" fillId="0" borderId="20" applyNumberFormat="0" applyFill="0" applyAlignment="0" applyProtection="0"/>
    <xf numFmtId="0" fontId="2" fillId="23" borderId="15" applyNumberFormat="0" applyFont="0" applyAlignment="0" applyProtection="0"/>
    <xf numFmtId="0" fontId="23" fillId="23" borderId="15" applyNumberFormat="0" applyFont="0" applyAlignment="0" applyProtection="0"/>
    <xf numFmtId="0" fontId="26" fillId="20"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7" fillId="20" borderId="16" applyNumberFormat="0" applyAlignment="0" applyProtection="0"/>
    <xf numFmtId="0" fontId="37" fillId="20" borderId="16" applyNumberFormat="0" applyAlignment="0" applyProtection="0"/>
    <xf numFmtId="0" fontId="39" fillId="0" borderId="20" applyNumberFormat="0" applyFill="0" applyAlignment="0" applyProtection="0"/>
    <xf numFmtId="0" fontId="39" fillId="0" borderId="17"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3"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26" fillId="24" borderId="9" applyNumberFormat="0" applyAlignment="0" applyProtection="0"/>
    <xf numFmtId="0" fontId="26" fillId="20"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4" borderId="9"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3" fillId="23" borderId="15" applyNumberFormat="0" applyFont="0" applyAlignment="0" applyProtection="0"/>
    <xf numFmtId="0" fontId="23" fillId="23" borderId="15" applyNumberFormat="0" applyFont="0" applyAlignment="0" applyProtection="0"/>
    <xf numFmtId="0" fontId="26" fillId="24"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23"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4" borderId="9" applyNumberForma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37" fillId="24" borderId="16" applyNumberFormat="0" applyAlignment="0" applyProtection="0"/>
    <xf numFmtId="0" fontId="26" fillId="24" borderId="9" applyNumberFormat="0" applyAlignment="0" applyProtection="0"/>
    <xf numFmtId="0" fontId="26" fillId="24" borderId="9" applyNumberFormat="0" applyAlignment="0" applyProtection="0"/>
    <xf numFmtId="0" fontId="34" fillId="7" borderId="9" applyNumberForma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4"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4" borderId="9" applyNumberFormat="0" applyAlignment="0" applyProtection="0"/>
    <xf numFmtId="0" fontId="37" fillId="20" borderId="16" applyNumberForma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23"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4" borderId="16" applyNumberFormat="0" applyAlignment="0" applyProtection="0"/>
    <xf numFmtId="0" fontId="37" fillId="20" borderId="16" applyNumberFormat="0" applyAlignment="0" applyProtection="0"/>
    <xf numFmtId="0" fontId="26" fillId="24"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20"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3" fillId="23" borderId="15" applyNumberFormat="0" applyFont="0" applyAlignment="0" applyProtection="0"/>
    <xf numFmtId="0" fontId="23" fillId="23" borderId="15" applyNumberFormat="0" applyFont="0" applyAlignment="0" applyProtection="0"/>
    <xf numFmtId="0" fontId="39" fillId="0" borderId="20" applyNumberFormat="0" applyFill="0" applyAlignment="0" applyProtection="0"/>
    <xf numFmtId="0" fontId="37" fillId="24" borderId="16" applyNumberFormat="0" applyAlignment="0" applyProtection="0"/>
    <xf numFmtId="0" fontId="34" fillId="7" borderId="9" applyNumberFormat="0" applyAlignment="0" applyProtection="0"/>
    <xf numFmtId="0" fontId="26" fillId="24" borderId="9" applyNumberFormat="0" applyAlignment="0" applyProtection="0"/>
    <xf numFmtId="0" fontId="37" fillId="24" borderId="16" applyNumberFormat="0" applyAlignment="0" applyProtection="0"/>
    <xf numFmtId="0" fontId="37" fillId="24"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9" fillId="0" borderId="20" applyNumberFormat="0" applyFill="0" applyAlignment="0" applyProtection="0"/>
    <xf numFmtId="0" fontId="26" fillId="24"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20"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26" fillId="24" borderId="9" applyNumberFormat="0" applyAlignment="0" applyProtection="0"/>
    <xf numFmtId="0" fontId="37" fillId="20" borderId="16" applyNumberFormat="0" applyAlignment="0" applyProtection="0"/>
    <xf numFmtId="0" fontId="26" fillId="24" borderId="9"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4" borderId="9" applyNumberFormat="0" applyAlignment="0" applyProtection="0"/>
    <xf numFmtId="0" fontId="26" fillId="20" borderId="9" applyNumberFormat="0" applyAlignment="0" applyProtection="0"/>
    <xf numFmtId="0" fontId="23" fillId="23" borderId="15" applyNumberFormat="0" applyFont="0" applyAlignment="0" applyProtection="0"/>
    <xf numFmtId="0" fontId="39" fillId="0" borderId="20" applyNumberFormat="0" applyFill="0" applyAlignment="0" applyProtection="0"/>
    <xf numFmtId="0" fontId="26" fillId="24"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23" fillId="23" borderId="15" applyNumberFormat="0" applyFont="0" applyAlignment="0" applyProtection="0"/>
    <xf numFmtId="0" fontId="39" fillId="0" borderId="20"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4" borderId="16" applyNumberFormat="0" applyAlignment="0" applyProtection="0"/>
    <xf numFmtId="0" fontId="34" fillId="7" borderId="9" applyNumberFormat="0" applyAlignment="0" applyProtection="0"/>
    <xf numFmtId="0" fontId="23" fillId="23" borderId="15" applyNumberFormat="0" applyFont="0" applyAlignment="0" applyProtection="0"/>
    <xf numFmtId="0" fontId="34" fillId="7" borderId="9" applyNumberFormat="0" applyAlignment="0" applyProtection="0"/>
    <xf numFmtId="0" fontId="37" fillId="24" borderId="16" applyNumberFormat="0" applyAlignment="0" applyProtection="0"/>
    <xf numFmtId="0" fontId="37" fillId="24" borderId="16"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7" fillId="20" borderId="16" applyNumberFormat="0" applyAlignment="0" applyProtection="0"/>
    <xf numFmtId="0" fontId="26" fillId="24" borderId="9" applyNumberFormat="0" applyAlignment="0" applyProtection="0"/>
    <xf numFmtId="0" fontId="2" fillId="23" borderId="15" applyNumberFormat="0" applyFon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26" fillId="24" borderId="9" applyNumberFormat="0" applyAlignment="0" applyProtection="0"/>
    <xf numFmtId="0" fontId="34" fillId="7"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3"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4"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20"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20" applyNumberFormat="0" applyFill="0" applyAlignment="0" applyProtection="0"/>
    <xf numFmtId="0" fontId="39" fillId="0" borderId="17" applyNumberFormat="0" applyFill="0" applyAlignment="0" applyProtection="0"/>
    <xf numFmtId="0" fontId="23" fillId="23" borderId="15" applyNumberFormat="0" applyFon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3"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7" fillId="20" borderId="16" applyNumberFormat="0" applyAlignment="0" applyProtection="0"/>
    <xf numFmtId="0" fontId="26" fillId="20" borderId="9" applyNumberFormat="0" applyAlignment="0" applyProtection="0"/>
    <xf numFmtId="0" fontId="26" fillId="24"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4"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4" borderId="9"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4" borderId="9" applyNumberFormat="0" applyAlignment="0" applyProtection="0"/>
    <xf numFmtId="0" fontId="26" fillId="20" borderId="9" applyNumberFormat="0" applyAlignment="0" applyProtection="0"/>
    <xf numFmtId="0" fontId="37" fillId="24" borderId="16" applyNumberFormat="0" applyAlignment="0" applyProtection="0"/>
    <xf numFmtId="0" fontId="26" fillId="24" borderId="9"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39" fillId="0" borderId="20" applyNumberFormat="0" applyFill="0" applyAlignment="0" applyProtection="0"/>
    <xf numFmtId="0" fontId="26" fillId="20" borderId="9" applyNumberFormat="0" applyAlignment="0" applyProtection="0"/>
    <xf numFmtId="0" fontId="23"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4" borderId="16" applyNumberFormat="0" applyAlignment="0" applyProtection="0"/>
    <xf numFmtId="0" fontId="2" fillId="23" borderId="15" applyNumberFormat="0" applyFont="0" applyAlignment="0" applyProtection="0"/>
    <xf numFmtId="0" fontId="37" fillId="24" borderId="16"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23" fillId="23" borderId="15" applyNumberFormat="0" applyFont="0" applyAlignment="0" applyProtection="0"/>
    <xf numFmtId="0" fontId="23" fillId="23" borderId="15" applyNumberFormat="0" applyFon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39" fillId="0" borderId="20" applyNumberFormat="0" applyFill="0" applyAlignment="0" applyProtection="0"/>
    <xf numFmtId="0" fontId="2" fillId="23" borderId="15" applyNumberFormat="0" applyFont="0" applyAlignment="0" applyProtection="0"/>
    <xf numFmtId="0" fontId="39" fillId="0" borderId="20" applyNumberFormat="0" applyFill="0" applyAlignment="0" applyProtection="0"/>
    <xf numFmtId="0" fontId="34" fillId="7"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2" fillId="23" borderId="15" applyNumberFormat="0" applyFont="0" applyAlignment="0" applyProtection="0"/>
    <xf numFmtId="0" fontId="23" fillId="23" borderId="15" applyNumberFormat="0" applyFont="0" applyAlignment="0" applyProtection="0"/>
    <xf numFmtId="0" fontId="26" fillId="24" borderId="9" applyNumberFormat="0" applyAlignment="0" applyProtection="0"/>
    <xf numFmtId="0" fontId="26" fillId="20" borderId="9" applyNumberFormat="0" applyAlignment="0" applyProtection="0"/>
    <xf numFmtId="0" fontId="26" fillId="20" borderId="9" applyNumberFormat="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37" fillId="24"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2" fillId="23" borderId="15" applyNumberFormat="0" applyFont="0" applyAlignment="0" applyProtection="0"/>
    <xf numFmtId="0" fontId="26" fillId="20" borderId="9" applyNumberFormat="0" applyAlignment="0" applyProtection="0"/>
    <xf numFmtId="0" fontId="37" fillId="24" borderId="16" applyNumberFormat="0" applyAlignment="0" applyProtection="0"/>
    <xf numFmtId="0" fontId="37" fillId="20" borderId="16" applyNumberFormat="0" applyAlignment="0" applyProtection="0"/>
    <xf numFmtId="0" fontId="37" fillId="24" borderId="16"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5" fillId="0" borderId="14"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5" fillId="0" borderId="14"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7" fillId="21" borderId="10" applyNumberFormat="0" applyAlignment="0" applyProtection="0"/>
    <xf numFmtId="0" fontId="35" fillId="0" borderId="14"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7" fillId="20" borderId="16" applyNumberFormat="0" applyAlignment="0" applyProtection="0"/>
    <xf numFmtId="0" fontId="26" fillId="20" borderId="9" applyNumberFormat="0" applyAlignment="0" applyProtection="0"/>
    <xf numFmtId="0" fontId="26" fillId="24"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6" fillId="24" borderId="9" applyNumberFormat="0" applyAlignment="0" applyProtection="0"/>
    <xf numFmtId="0" fontId="37" fillId="24" borderId="16" applyNumberFormat="0" applyAlignment="0" applyProtection="0"/>
    <xf numFmtId="0" fontId="26" fillId="20" borderId="9" applyNumberFormat="0" applyAlignment="0" applyProtection="0"/>
    <xf numFmtId="0" fontId="37" fillId="24" borderId="16" applyNumberFormat="0" applyAlignment="0" applyProtection="0"/>
    <xf numFmtId="0" fontId="26" fillId="20" borderId="9" applyNumberFormat="0" applyAlignment="0" applyProtection="0"/>
    <xf numFmtId="0" fontId="37" fillId="20" borderId="16" applyNumberFormat="0" applyAlignment="0" applyProtection="0"/>
    <xf numFmtId="0" fontId="35" fillId="0" borderId="14" applyNumberFormat="0" applyFill="0" applyAlignment="0" applyProtection="0"/>
    <xf numFmtId="0" fontId="37" fillId="20" borderId="16" applyNumberFormat="0" applyAlignment="0" applyProtection="0"/>
    <xf numFmtId="0" fontId="23" fillId="23" borderId="15" applyNumberFormat="0" applyFont="0" applyAlignment="0" applyProtection="0"/>
    <xf numFmtId="0" fontId="37" fillId="20" borderId="16" applyNumberFormat="0" applyAlignment="0" applyProtection="0"/>
    <xf numFmtId="0" fontId="37" fillId="24"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23" fillId="23" borderId="15" applyNumberFormat="0" applyFont="0" applyAlignment="0" applyProtection="0"/>
    <xf numFmtId="0" fontId="26" fillId="24" borderId="9" applyNumberForma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 fillId="23" borderId="15" applyNumberFormat="0" applyFont="0" applyAlignment="0" applyProtection="0"/>
    <xf numFmtId="0" fontId="34" fillId="7" borderId="9"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3" fillId="23" borderId="15" applyNumberFormat="0" applyFont="0" applyAlignment="0" applyProtection="0"/>
    <xf numFmtId="0" fontId="2" fillId="23" borderId="15" applyNumberFormat="0" applyFont="0" applyAlignment="0" applyProtection="0"/>
    <xf numFmtId="0" fontId="37" fillId="24"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37" fillId="24" borderId="16"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26" fillId="24" borderId="9" applyNumberFormat="0" applyAlignment="0" applyProtection="0"/>
    <xf numFmtId="0" fontId="39" fillId="0" borderId="17" applyNumberFormat="0" applyFill="0" applyAlignment="0" applyProtection="0"/>
    <xf numFmtId="0" fontId="37" fillId="24"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3" fillId="23" borderId="15" applyNumberFormat="0" applyFont="0" applyAlignment="0" applyProtection="0"/>
    <xf numFmtId="0" fontId="37" fillId="20" borderId="16"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7" fillId="24" borderId="16" applyNumberFormat="0" applyAlignment="0" applyProtection="0"/>
    <xf numFmtId="0" fontId="39" fillId="0" borderId="20"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5" fillId="0" borderId="14" applyNumberFormat="0" applyFill="0" applyAlignment="0" applyProtection="0"/>
    <xf numFmtId="0" fontId="35" fillId="0" borderId="14"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20" applyNumberFormat="0" applyFill="0" applyAlignment="0" applyProtection="0"/>
    <xf numFmtId="0" fontId="23" fillId="23" borderId="15" applyNumberFormat="0" applyFont="0" applyAlignment="0" applyProtection="0"/>
    <xf numFmtId="0" fontId="39" fillId="0" borderId="20" applyNumberFormat="0" applyFill="0" applyAlignment="0" applyProtection="0"/>
    <xf numFmtId="0" fontId="37" fillId="24"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0" borderId="9" applyNumberFormat="0" applyAlignment="0" applyProtection="0"/>
    <xf numFmtId="0" fontId="37" fillId="24" borderId="16" applyNumberFormat="0" applyAlignment="0" applyProtection="0"/>
    <xf numFmtId="0" fontId="23"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2" fillId="23" borderId="15" applyNumberFormat="0" applyFont="0" applyAlignment="0" applyProtection="0"/>
    <xf numFmtId="0" fontId="39" fillId="0" borderId="17" applyNumberFormat="0" applyFill="0" applyAlignment="0" applyProtection="0"/>
    <xf numFmtId="0" fontId="37" fillId="24" borderId="16" applyNumberFormat="0" applyAlignment="0" applyProtection="0"/>
    <xf numFmtId="0" fontId="39" fillId="0" borderId="17" applyNumberFormat="0" applyFill="0" applyAlignment="0" applyProtection="0"/>
    <xf numFmtId="0" fontId="26" fillId="24" borderId="9"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37" fillId="20" borderId="16"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37" fillId="24" borderId="16" applyNumberFormat="0" applyAlignment="0" applyProtection="0"/>
    <xf numFmtId="0" fontId="26" fillId="20" borderId="9" applyNumberFormat="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7" fillId="20" borderId="16" applyNumberFormat="0" applyAlignment="0" applyProtection="0"/>
    <xf numFmtId="0" fontId="26" fillId="24" borderId="9" applyNumberFormat="0" applyAlignment="0" applyProtection="0"/>
    <xf numFmtId="0" fontId="37" fillId="24"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23"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34" fillId="7" borderId="9" applyNumberFormat="0" applyAlignment="0" applyProtection="0"/>
    <xf numFmtId="0" fontId="26" fillId="20" borderId="9" applyNumberForma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34" fillId="7" borderId="9" applyNumberFormat="0" applyAlignment="0" applyProtection="0"/>
    <xf numFmtId="0" fontId="23" fillId="23" borderId="15" applyNumberFormat="0" applyFont="0" applyAlignment="0" applyProtection="0"/>
    <xf numFmtId="0" fontId="2" fillId="23" borderId="15" applyNumberFormat="0" applyFont="0" applyAlignment="0" applyProtection="0"/>
    <xf numFmtId="0" fontId="26" fillId="24" borderId="9" applyNumberFormat="0" applyAlignment="0" applyProtection="0"/>
    <xf numFmtId="0" fontId="34" fillId="7" borderId="9" applyNumberFormat="0" applyAlignment="0" applyProtection="0"/>
    <xf numFmtId="0" fontId="26" fillId="20" borderId="9" applyNumberFormat="0" applyAlignment="0" applyProtection="0"/>
    <xf numFmtId="0" fontId="26" fillId="24"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4"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37" fillId="24" borderId="16" applyNumberFormat="0" applyAlignment="0" applyProtection="0"/>
    <xf numFmtId="0" fontId="37" fillId="20" borderId="16" applyNumberFormat="0" applyAlignment="0" applyProtection="0"/>
    <xf numFmtId="0" fontId="23" fillId="23" borderId="15" applyNumberFormat="0" applyFont="0" applyAlignment="0" applyProtection="0"/>
    <xf numFmtId="0" fontId="37" fillId="24" borderId="16" applyNumberFormat="0" applyAlignment="0" applyProtection="0"/>
    <xf numFmtId="0" fontId="34" fillId="7" borderId="9" applyNumberFormat="0" applyAlignment="0" applyProtection="0"/>
    <xf numFmtId="0" fontId="39" fillId="0" borderId="20" applyNumberFormat="0" applyFill="0" applyAlignment="0" applyProtection="0"/>
    <xf numFmtId="0" fontId="2" fillId="23" borderId="15" applyNumberFormat="0" applyFont="0" applyAlignment="0" applyProtection="0"/>
    <xf numFmtId="0" fontId="26" fillId="24" borderId="9" applyNumberFormat="0" applyAlignment="0" applyProtection="0"/>
    <xf numFmtId="0" fontId="27" fillId="21" borderId="10" applyNumberFormat="0" applyAlignment="0" applyProtection="0"/>
    <xf numFmtId="0" fontId="2" fillId="23" borderId="15" applyNumberFormat="0" applyFont="0" applyAlignment="0" applyProtection="0"/>
    <xf numFmtId="0" fontId="35" fillId="0" borderId="14" applyNumberFormat="0" applyFill="0" applyAlignment="0" applyProtection="0"/>
    <xf numFmtId="0" fontId="37" fillId="20" borderId="16" applyNumberFormat="0" applyAlignment="0" applyProtection="0"/>
    <xf numFmtId="0" fontId="26" fillId="24"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6" fillId="24"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9" fillId="0" borderId="20" applyNumberFormat="0" applyFill="0" applyAlignment="0" applyProtection="0"/>
    <xf numFmtId="0" fontId="37" fillId="24"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7" fillId="24" borderId="16" applyNumberFormat="0" applyAlignment="0" applyProtection="0"/>
    <xf numFmtId="0" fontId="34" fillId="7" borderId="9" applyNumberFormat="0" applyAlignment="0" applyProtection="0"/>
    <xf numFmtId="0" fontId="34" fillId="7" borderId="9" applyNumberFormat="0" applyAlignment="0" applyProtection="0"/>
    <xf numFmtId="0" fontId="23" fillId="23" borderId="15" applyNumberFormat="0" applyFont="0" applyAlignment="0" applyProtection="0"/>
    <xf numFmtId="0" fontId="39" fillId="0" borderId="20" applyNumberFormat="0" applyFill="0" applyAlignment="0" applyProtection="0"/>
    <xf numFmtId="0" fontId="39" fillId="0" borderId="20"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37" fillId="20" borderId="16" applyNumberFormat="0" applyAlignment="0" applyProtection="0"/>
    <xf numFmtId="0" fontId="39" fillId="0" borderId="20"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2" fillId="23" borderId="15" applyNumberFormat="0" applyFont="0" applyAlignment="0" applyProtection="0"/>
    <xf numFmtId="0" fontId="23" fillId="23" borderId="15" applyNumberFormat="0" applyFont="0" applyAlignment="0" applyProtection="0"/>
    <xf numFmtId="0" fontId="37" fillId="24" borderId="16" applyNumberFormat="0" applyAlignment="0" applyProtection="0"/>
    <xf numFmtId="0" fontId="2" fillId="23" borderId="15" applyNumberFormat="0" applyFont="0" applyAlignment="0" applyProtection="0"/>
    <xf numFmtId="0" fontId="23" fillId="23" borderId="15" applyNumberFormat="0" applyFont="0" applyAlignment="0" applyProtection="0"/>
    <xf numFmtId="0" fontId="37" fillId="24"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7" fillId="20" borderId="16" applyNumberFormat="0" applyAlignment="0" applyProtection="0"/>
    <xf numFmtId="0" fontId="23" fillId="23" borderId="15" applyNumberFormat="0" applyFont="0" applyAlignment="0" applyProtection="0"/>
    <xf numFmtId="0" fontId="23" fillId="23" borderId="15" applyNumberFormat="0" applyFont="0" applyAlignment="0" applyProtection="0"/>
    <xf numFmtId="0" fontId="37" fillId="20" borderId="16" applyNumberFormat="0" applyAlignment="0" applyProtection="0"/>
    <xf numFmtId="0" fontId="37" fillId="24"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6" fillId="20" borderId="9"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26" fillId="24" borderId="9" applyNumberFormat="0" applyAlignment="0" applyProtection="0"/>
    <xf numFmtId="0" fontId="26" fillId="20" borderId="9" applyNumberFormat="0" applyAlignment="0" applyProtection="0"/>
    <xf numFmtId="0" fontId="39" fillId="0" borderId="20" applyNumberFormat="0" applyFill="0" applyAlignment="0" applyProtection="0"/>
    <xf numFmtId="0" fontId="37" fillId="24" borderId="16" applyNumberFormat="0" applyAlignment="0" applyProtection="0"/>
    <xf numFmtId="0" fontId="2" fillId="23" borderId="15" applyNumberFormat="0" applyFont="0" applyAlignment="0" applyProtection="0"/>
    <xf numFmtId="0" fontId="26" fillId="24" borderId="9" applyNumberFormat="0" applyAlignment="0" applyProtection="0"/>
    <xf numFmtId="0" fontId="26" fillId="24" borderId="9"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39" fillId="0" borderId="20" applyNumberFormat="0" applyFill="0" applyAlignment="0" applyProtection="0"/>
    <xf numFmtId="0" fontId="34" fillId="7" borderId="9" applyNumberFormat="0" applyAlignment="0" applyProtection="0"/>
    <xf numFmtId="0" fontId="26" fillId="20"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5" fillId="0" borderId="14" applyNumberFormat="0" applyFill="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4" fillId="7"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2" fillId="23" borderId="15" applyNumberFormat="0" applyFont="0" applyAlignment="0" applyProtection="0"/>
    <xf numFmtId="0" fontId="23" fillId="23" borderId="15" applyNumberFormat="0" applyFont="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3" fillId="23" borderId="15" applyNumberFormat="0" applyFont="0" applyAlignment="0" applyProtection="0"/>
    <xf numFmtId="0" fontId="26" fillId="20" borderId="9" applyNumberFormat="0" applyAlignment="0" applyProtection="0"/>
    <xf numFmtId="0" fontId="23" fillId="23" borderId="15" applyNumberFormat="0" applyFont="0" applyAlignment="0" applyProtection="0"/>
    <xf numFmtId="0" fontId="39" fillId="0" borderId="17" applyNumberFormat="0" applyFill="0" applyAlignment="0" applyProtection="0"/>
    <xf numFmtId="0" fontId="23" fillId="23" borderId="15" applyNumberFormat="0" applyFont="0" applyAlignment="0" applyProtection="0"/>
    <xf numFmtId="0" fontId="37" fillId="24" borderId="16" applyNumberFormat="0" applyAlignment="0" applyProtection="0"/>
    <xf numFmtId="0" fontId="39" fillId="0" borderId="17"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4" fillId="7" borderId="9" applyNumberFormat="0" applyAlignment="0" applyProtection="0"/>
    <xf numFmtId="0" fontId="23"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34" fillId="7" borderId="9" applyNumberFormat="0" applyAlignment="0" applyProtection="0"/>
    <xf numFmtId="0" fontId="23" fillId="23" borderId="15" applyNumberFormat="0" applyFont="0" applyAlignment="0" applyProtection="0"/>
    <xf numFmtId="0" fontId="39" fillId="0" borderId="20" applyNumberFormat="0" applyFill="0" applyAlignment="0" applyProtection="0"/>
    <xf numFmtId="0" fontId="26" fillId="24" borderId="9"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37" fillId="24" borderId="16" applyNumberFormat="0" applyAlignment="0" applyProtection="0"/>
    <xf numFmtId="0" fontId="26" fillId="20" borderId="9" applyNumberFormat="0" applyAlignment="0" applyProtection="0"/>
    <xf numFmtId="0" fontId="39" fillId="0" borderId="20" applyNumberFormat="0" applyFill="0" applyAlignment="0" applyProtection="0"/>
    <xf numFmtId="0" fontId="34" fillId="7" borderId="9" applyNumberFormat="0" applyAlignment="0" applyProtection="0"/>
    <xf numFmtId="0" fontId="37" fillId="24" borderId="16" applyNumberFormat="0" applyAlignment="0" applyProtection="0"/>
    <xf numFmtId="0" fontId="2" fillId="23" borderId="15" applyNumberFormat="0" applyFont="0" applyAlignment="0" applyProtection="0"/>
    <xf numFmtId="0" fontId="39" fillId="0" borderId="20" applyNumberFormat="0" applyFill="0" applyAlignment="0" applyProtection="0"/>
    <xf numFmtId="0" fontId="37" fillId="20" borderId="16" applyNumberFormat="0" applyAlignment="0" applyProtection="0"/>
    <xf numFmtId="0" fontId="26" fillId="20"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7" fillId="24" borderId="16" applyNumberFormat="0" applyAlignment="0" applyProtection="0"/>
    <xf numFmtId="0" fontId="26" fillId="24"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4" borderId="9" applyNumberFormat="0" applyAlignment="0" applyProtection="0"/>
    <xf numFmtId="0" fontId="39" fillId="0" borderId="17" applyNumberFormat="0" applyFill="0" applyAlignment="0" applyProtection="0"/>
    <xf numFmtId="0" fontId="23" fillId="23" borderId="15" applyNumberFormat="0" applyFont="0" applyAlignment="0" applyProtection="0"/>
    <xf numFmtId="0" fontId="37" fillId="24" borderId="16" applyNumberFormat="0" applyAlignment="0" applyProtection="0"/>
    <xf numFmtId="0" fontId="37" fillId="20" borderId="16" applyNumberFormat="0" applyAlignment="0" applyProtection="0"/>
    <xf numFmtId="0" fontId="39" fillId="0" borderId="17" applyNumberFormat="0" applyFill="0" applyAlignment="0" applyProtection="0"/>
    <xf numFmtId="0" fontId="37" fillId="24" borderId="16" applyNumberFormat="0" applyAlignment="0" applyProtection="0"/>
    <xf numFmtId="0" fontId="26" fillId="24"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7" fillId="20"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4" fillId="7" borderId="9"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17" applyNumberFormat="0" applyFill="0" applyAlignment="0" applyProtection="0"/>
    <xf numFmtId="0" fontId="34" fillId="7" borderId="9" applyNumberFormat="0" applyAlignment="0" applyProtection="0"/>
    <xf numFmtId="0" fontId="34" fillId="7" borderId="9" applyNumberFormat="0" applyAlignment="0" applyProtection="0"/>
    <xf numFmtId="0" fontId="2" fillId="23" borderId="15" applyNumberFormat="0" applyFont="0" applyAlignment="0" applyProtection="0"/>
    <xf numFmtId="0" fontId="26" fillId="20" borderId="9" applyNumberFormat="0" applyAlignment="0" applyProtection="0"/>
    <xf numFmtId="0" fontId="26" fillId="20" borderId="9" applyNumberFormat="0" applyAlignment="0" applyProtection="0"/>
    <xf numFmtId="0" fontId="2" fillId="23" borderId="15" applyNumberFormat="0" applyFont="0" applyAlignment="0" applyProtection="0"/>
    <xf numFmtId="0" fontId="39" fillId="0" borderId="17" applyNumberFormat="0" applyFill="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5" fillId="0" borderId="14" applyNumberFormat="0" applyFill="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4" borderId="9"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39" fillId="0" borderId="17" applyNumberFormat="0" applyFill="0" applyAlignment="0" applyProtection="0"/>
    <xf numFmtId="0" fontId="37" fillId="20" borderId="16" applyNumberFormat="0" applyAlignment="0" applyProtection="0"/>
    <xf numFmtId="0" fontId="39" fillId="0" borderId="17" applyNumberFormat="0" applyFill="0" applyAlignment="0" applyProtection="0"/>
    <xf numFmtId="0" fontId="37" fillId="20" borderId="16" applyNumberFormat="0" applyAlignment="0" applyProtection="0"/>
    <xf numFmtId="0" fontId="2" fillId="23" borderId="15" applyNumberFormat="0" applyFont="0" applyAlignment="0" applyProtection="0"/>
    <xf numFmtId="0" fontId="34" fillId="7" borderId="9" applyNumberFormat="0" applyAlignment="0" applyProtection="0"/>
    <xf numFmtId="0" fontId="26" fillId="20" borderId="9"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23" fillId="23" borderId="15" applyNumberFormat="0" applyFont="0" applyAlignment="0" applyProtection="0"/>
    <xf numFmtId="0" fontId="34" fillId="7" borderId="9" applyNumberFormat="0" applyAlignment="0" applyProtection="0"/>
    <xf numFmtId="0" fontId="34" fillId="7" borderId="9" applyNumberFormat="0" applyAlignment="0" applyProtection="0"/>
    <xf numFmtId="0" fontId="37" fillId="20"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0" borderId="9" applyNumberFormat="0" applyAlignment="0" applyProtection="0"/>
    <xf numFmtId="0" fontId="34" fillId="7" borderId="9" applyNumberFormat="0" applyAlignment="0" applyProtection="0"/>
    <xf numFmtId="0" fontId="39" fillId="0" borderId="17" applyNumberFormat="0" applyFill="0" applyAlignment="0" applyProtection="0"/>
    <xf numFmtId="0" fontId="26" fillId="20" borderId="9" applyNumberFormat="0" applyAlignment="0" applyProtection="0"/>
    <xf numFmtId="0" fontId="26" fillId="24" borderId="9" applyNumberFormat="0" applyAlignment="0" applyProtection="0"/>
    <xf numFmtId="0" fontId="2" fillId="23" borderId="15" applyNumberFormat="0" applyFont="0" applyAlignment="0" applyProtection="0"/>
    <xf numFmtId="0" fontId="26" fillId="20" borderId="9" applyNumberFormat="0" applyAlignment="0" applyProtection="0"/>
    <xf numFmtId="0" fontId="37" fillId="20" borderId="16" applyNumberFormat="0" applyAlignment="0" applyProtection="0"/>
    <xf numFmtId="0" fontId="26" fillId="20" borderId="9" applyNumberFormat="0" applyAlignment="0" applyProtection="0"/>
    <xf numFmtId="0" fontId="34" fillId="7" borderId="9" applyNumberFormat="0" applyAlignment="0" applyProtection="0"/>
    <xf numFmtId="0" fontId="23" fillId="23" borderId="15" applyNumberFormat="0" applyFon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 fillId="23" borderId="15" applyNumberFormat="0" applyFon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2" fillId="23" borderId="15" applyNumberFormat="0" applyFont="0" applyAlignment="0" applyProtection="0"/>
    <xf numFmtId="0" fontId="2" fillId="23" borderId="15" applyNumberFormat="0" applyFont="0" applyAlignment="0" applyProtection="0"/>
    <xf numFmtId="0" fontId="34" fillId="7" borderId="9" applyNumberFormat="0" applyAlignment="0" applyProtection="0"/>
    <xf numFmtId="0" fontId="26" fillId="24" borderId="9" applyNumberFormat="0" applyAlignment="0" applyProtection="0"/>
    <xf numFmtId="0" fontId="37" fillId="20" borderId="16" applyNumberFormat="0" applyAlignment="0" applyProtection="0"/>
    <xf numFmtId="0" fontId="2" fillId="23" borderId="15" applyNumberFormat="0" applyFont="0" applyAlignment="0" applyProtection="0"/>
    <xf numFmtId="0" fontId="37" fillId="20" borderId="16" applyNumberFormat="0" applyAlignment="0" applyProtection="0"/>
    <xf numFmtId="0" fontId="26" fillId="20"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3" fillId="23" borderId="15" applyNumberFormat="0" applyFon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4" fillId="7" borderId="9" applyNumberFormat="0" applyAlignment="0" applyProtection="0"/>
    <xf numFmtId="0" fontId="37" fillId="20" borderId="16" applyNumberFormat="0" applyAlignment="0" applyProtection="0"/>
    <xf numFmtId="0" fontId="26" fillId="20" borderId="9" applyNumberFormat="0" applyAlignment="0" applyProtection="0"/>
    <xf numFmtId="0" fontId="26" fillId="24" borderId="9" applyNumberFormat="0" applyAlignment="0" applyProtection="0"/>
    <xf numFmtId="0" fontId="26" fillId="20"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6" fillId="24" borderId="9" applyNumberFormat="0" applyAlignment="0" applyProtection="0"/>
    <xf numFmtId="0" fontId="37" fillId="24" borderId="16" applyNumberFormat="0" applyAlignment="0" applyProtection="0"/>
    <xf numFmtId="0" fontId="39" fillId="0" borderId="17" applyNumberFormat="0" applyFill="0" applyAlignment="0" applyProtection="0"/>
    <xf numFmtId="0" fontId="39" fillId="0" borderId="17" applyNumberFormat="0" applyFill="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26" fillId="24" borderId="9" applyNumberFormat="0" applyAlignment="0" applyProtection="0"/>
    <xf numFmtId="0" fontId="26" fillId="24" borderId="9" applyNumberFormat="0" applyAlignment="0" applyProtection="0"/>
    <xf numFmtId="0" fontId="23" fillId="23" borderId="15" applyNumberFormat="0" applyFont="0" applyAlignment="0" applyProtection="0"/>
    <xf numFmtId="0" fontId="37" fillId="24" borderId="16" applyNumberFormat="0" applyAlignment="0" applyProtection="0"/>
    <xf numFmtId="0" fontId="37" fillId="24" borderId="16" applyNumberFormat="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7" fillId="20" borderId="16" applyNumberFormat="0" applyAlignment="0" applyProtection="0"/>
    <xf numFmtId="0" fontId="39" fillId="0" borderId="20" applyNumberFormat="0" applyFill="0" applyAlignment="0" applyProtection="0"/>
    <xf numFmtId="0" fontId="26" fillId="20" borderId="9"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17" applyNumberFormat="0" applyFill="0" applyAlignment="0" applyProtection="0"/>
    <xf numFmtId="0" fontId="2" fillId="23" borderId="15" applyNumberFormat="0" applyFont="0" applyAlignment="0" applyProtection="0"/>
    <xf numFmtId="0" fontId="34" fillId="7" borderId="9" applyNumberFormat="0" applyAlignment="0" applyProtection="0"/>
    <xf numFmtId="0" fontId="37" fillId="20" borderId="16" applyNumberFormat="0" applyAlignment="0" applyProtection="0"/>
    <xf numFmtId="0" fontId="35" fillId="0" borderId="14" applyNumberFormat="0" applyFill="0" applyAlignment="0" applyProtection="0"/>
    <xf numFmtId="0" fontId="26" fillId="20" borderId="9" applyNumberFormat="0" applyAlignment="0" applyProtection="0"/>
    <xf numFmtId="0" fontId="34" fillId="7" borderId="9" applyNumberFormat="0" applyAlignment="0" applyProtection="0"/>
    <xf numFmtId="0" fontId="2" fillId="23" borderId="15" applyNumberFormat="0" applyFont="0" applyAlignment="0" applyProtection="0"/>
    <xf numFmtId="0" fontId="37" fillId="20" borderId="16" applyNumberFormat="0" applyAlignment="0" applyProtection="0"/>
    <xf numFmtId="0" fontId="39" fillId="0" borderId="17" applyNumberFormat="0" applyFill="0" applyAlignment="0" applyProtection="0"/>
    <xf numFmtId="0" fontId="39" fillId="0" borderId="20" applyNumberFormat="0" applyFill="0" applyAlignment="0" applyProtection="0"/>
    <xf numFmtId="0" fontId="39" fillId="0" borderId="20" applyNumberFormat="0" applyFill="0" applyAlignment="0" applyProtection="0"/>
    <xf numFmtId="0" fontId="39" fillId="0" borderId="20" applyNumberFormat="0" applyFill="0" applyAlignment="0" applyProtection="0"/>
    <xf numFmtId="0" fontId="26" fillId="20" borderId="21" applyNumberFormat="0" applyAlignment="0" applyProtection="0"/>
    <xf numFmtId="0" fontId="34" fillId="7" borderId="21" applyNumberFormat="0" applyAlignment="0" applyProtection="0"/>
    <xf numFmtId="0" fontId="2" fillId="23" borderId="22" applyNumberFormat="0" applyFont="0" applyAlignment="0" applyProtection="0"/>
    <xf numFmtId="0" fontId="37" fillId="20" borderId="23" applyNumberFormat="0" applyAlignment="0" applyProtection="0"/>
    <xf numFmtId="0" fontId="39" fillId="0" borderId="24" applyNumberFormat="0" applyFill="0" applyAlignment="0" applyProtection="0"/>
    <xf numFmtId="0" fontId="39" fillId="0" borderId="25" applyNumberFormat="0" applyFill="0" applyAlignment="0" applyProtection="0"/>
    <xf numFmtId="0" fontId="39" fillId="0" borderId="25" applyNumberFormat="0" applyFill="0" applyAlignment="0" applyProtection="0"/>
    <xf numFmtId="0" fontId="39" fillId="0" borderId="25" applyNumberFormat="0" applyFill="0" applyAlignment="0" applyProtection="0"/>
    <xf numFmtId="0" fontId="1" fillId="0" borderId="0"/>
    <xf numFmtId="43" fontId="1" fillId="0" borderId="0" applyFont="0" applyFill="0" applyBorder="0" applyAlignment="0" applyProtection="0"/>
    <xf numFmtId="0" fontId="1" fillId="0" borderId="0"/>
    <xf numFmtId="178" fontId="26" fillId="20" borderId="26" applyNumberFormat="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1" fillId="0" borderId="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1" fillId="0" borderId="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3" fillId="0" borderId="0" applyNumberFormat="0" applyFill="0" applyBorder="0" applyAlignment="0" applyProtection="0">
      <alignment vertical="top"/>
      <protection locked="0"/>
    </xf>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43" fontId="1" fillId="0" borderId="0" applyFont="0" applyFill="0" applyBorder="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50" fillId="0" borderId="0" applyNumberFormat="0" applyFill="0" applyBorder="0" applyAlignment="0" applyProtection="0"/>
    <xf numFmtId="178" fontId="23" fillId="2" borderId="0" applyNumberFormat="0" applyBorder="0" applyAlignment="0" applyProtection="0"/>
    <xf numFmtId="178" fontId="23" fillId="3" borderId="0" applyNumberFormat="0" applyBorder="0" applyAlignment="0" applyProtection="0"/>
    <xf numFmtId="178" fontId="23" fillId="4" borderId="0" applyNumberFormat="0" applyBorder="0" applyAlignment="0" applyProtection="0"/>
    <xf numFmtId="178" fontId="23" fillId="5" borderId="0" applyNumberFormat="0" applyBorder="0" applyAlignment="0" applyProtection="0"/>
    <xf numFmtId="178" fontId="23" fillId="6" borderId="0" applyNumberFormat="0" applyBorder="0" applyAlignment="0" applyProtection="0"/>
    <xf numFmtId="178" fontId="23" fillId="7" borderId="0" applyNumberFormat="0" applyBorder="0" applyAlignment="0" applyProtection="0"/>
    <xf numFmtId="178" fontId="23" fillId="8" borderId="0" applyNumberFormat="0" applyBorder="0" applyAlignment="0" applyProtection="0"/>
    <xf numFmtId="178" fontId="23" fillId="9" borderId="0" applyNumberFormat="0" applyBorder="0" applyAlignment="0" applyProtection="0"/>
    <xf numFmtId="178" fontId="23" fillId="10" borderId="0" applyNumberFormat="0" applyBorder="0" applyAlignment="0" applyProtection="0"/>
    <xf numFmtId="178" fontId="23" fillId="5" borderId="0" applyNumberFormat="0" applyBorder="0" applyAlignment="0" applyProtection="0"/>
    <xf numFmtId="178" fontId="23" fillId="8" borderId="0" applyNumberFormat="0" applyBorder="0" applyAlignment="0" applyProtection="0"/>
    <xf numFmtId="178" fontId="23" fillId="11" borderId="0" applyNumberFormat="0" applyBorder="0" applyAlignment="0" applyProtection="0"/>
    <xf numFmtId="178" fontId="24" fillId="12" borderId="0" applyNumberFormat="0" applyBorder="0" applyAlignment="0" applyProtection="0"/>
    <xf numFmtId="178" fontId="24" fillId="9" borderId="0" applyNumberFormat="0" applyBorder="0" applyAlignment="0" applyProtection="0"/>
    <xf numFmtId="178" fontId="24" fillId="10" borderId="0" applyNumberFormat="0" applyBorder="0" applyAlignment="0" applyProtection="0"/>
    <xf numFmtId="178" fontId="24" fillId="13" borderId="0" applyNumberFormat="0" applyBorder="0" applyAlignment="0" applyProtection="0"/>
    <xf numFmtId="178" fontId="24" fillId="14" borderId="0" applyNumberFormat="0" applyBorder="0" applyAlignment="0" applyProtection="0"/>
    <xf numFmtId="178" fontId="24" fillId="15" borderId="0" applyNumberFormat="0" applyBorder="0" applyAlignment="0" applyProtection="0"/>
    <xf numFmtId="178" fontId="24" fillId="16" borderId="0" applyNumberFormat="0" applyBorder="0" applyAlignment="0" applyProtection="0"/>
    <xf numFmtId="178" fontId="24" fillId="17" borderId="0" applyNumberFormat="0" applyBorder="0" applyAlignment="0" applyProtection="0"/>
    <xf numFmtId="178" fontId="24" fillId="18" borderId="0" applyNumberFormat="0" applyBorder="0" applyAlignment="0" applyProtection="0"/>
    <xf numFmtId="178" fontId="24" fillId="13" borderId="0" applyNumberFormat="0" applyBorder="0" applyAlignment="0" applyProtection="0"/>
    <xf numFmtId="178" fontId="24" fillId="14" borderId="0" applyNumberFormat="0" applyBorder="0" applyAlignment="0" applyProtection="0"/>
    <xf numFmtId="178" fontId="24" fillId="19" borderId="0" applyNumberFormat="0" applyBorder="0" applyAlignment="0" applyProtection="0"/>
    <xf numFmtId="178" fontId="25" fillId="3" borderId="0" applyNumberFormat="0" applyBorder="0" applyAlignment="0" applyProtection="0"/>
    <xf numFmtId="178" fontId="26" fillId="20" borderId="26" applyNumberFormat="0" applyAlignment="0" applyProtection="0"/>
    <xf numFmtId="178" fontId="27" fillId="21" borderId="10" applyNumberFormat="0" applyAlignment="0" applyProtection="0"/>
    <xf numFmtId="3" fontId="2" fillId="0" borderId="0" applyFont="0" applyFill="0" applyBorder="0" applyAlignment="0" applyProtection="0"/>
    <xf numFmtId="178" fontId="28" fillId="0" borderId="0" applyNumberFormat="0" applyFill="0" applyBorder="0" applyAlignment="0" applyProtection="0"/>
    <xf numFmtId="178" fontId="29" fillId="4" borderId="0" applyNumberFormat="0" applyBorder="0" applyAlignment="0" applyProtection="0"/>
    <xf numFmtId="178" fontId="30" fillId="0" borderId="11" applyNumberFormat="0" applyFill="0" applyAlignment="0" applyProtection="0"/>
    <xf numFmtId="178" fontId="31" fillId="0" borderId="12" applyNumberFormat="0" applyFill="0" applyAlignment="0" applyProtection="0"/>
    <xf numFmtId="178" fontId="32" fillId="0" borderId="31" applyNumberFormat="0" applyFill="0" applyAlignment="0" applyProtection="0"/>
    <xf numFmtId="178" fontId="32" fillId="0" borderId="0" applyNumberFormat="0" applyFill="0" applyBorder="0" applyAlignment="0" applyProtection="0"/>
    <xf numFmtId="178" fontId="33" fillId="0" borderId="0" applyNumberFormat="0" applyFill="0" applyBorder="0" applyAlignment="0" applyProtection="0">
      <alignment vertical="top"/>
      <protection locked="0"/>
    </xf>
    <xf numFmtId="178" fontId="34" fillId="7" borderId="26" applyNumberFormat="0" applyAlignment="0" applyProtection="0"/>
    <xf numFmtId="178" fontId="35" fillId="0" borderId="14" applyNumberFormat="0" applyFill="0" applyAlignment="0" applyProtection="0"/>
    <xf numFmtId="178" fontId="36" fillId="22" borderId="0" applyNumberFormat="0" applyBorder="0" applyAlignment="0" applyProtection="0"/>
    <xf numFmtId="178" fontId="2" fillId="23" borderId="27" applyNumberFormat="0" applyFont="0" applyAlignment="0" applyProtection="0"/>
    <xf numFmtId="178" fontId="37" fillId="20" borderId="28" applyNumberFormat="0" applyAlignment="0" applyProtection="0"/>
    <xf numFmtId="178" fontId="38" fillId="0" borderId="0" applyNumberFormat="0" applyFill="0" applyBorder="0" applyAlignment="0" applyProtection="0"/>
    <xf numFmtId="178" fontId="40" fillId="0" borderId="0" applyNumberFormat="0" applyFill="0" applyBorder="0" applyAlignment="0" applyProtection="0"/>
    <xf numFmtId="3" fontId="2" fillId="0" borderId="0" applyFont="0" applyFill="0" applyBorder="0" applyAlignment="0" applyProtection="0"/>
    <xf numFmtId="0" fontId="32" fillId="0" borderId="31" applyNumberFormat="0" applyFill="0" applyAlignment="0" applyProtection="0"/>
    <xf numFmtId="0" fontId="45" fillId="0" borderId="32"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178" fontId="26" fillId="20" borderId="26" applyNumberFormat="0" applyAlignment="0" applyProtection="0"/>
    <xf numFmtId="178" fontId="34" fillId="7" borderId="26" applyNumberFormat="0" applyAlignment="0" applyProtection="0"/>
    <xf numFmtId="178" fontId="32" fillId="0" borderId="31" applyNumberFormat="0" applyFill="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32" fillId="0" borderId="31"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1" fillId="0" borderId="0"/>
    <xf numFmtId="0" fontId="23" fillId="23" borderId="27" applyNumberFormat="0" applyFont="0" applyAlignment="0" applyProtection="0"/>
    <xf numFmtId="178"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178"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1" fillId="0" borderId="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45" fillId="0" borderId="32"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178" fontId="37" fillId="20" borderId="28" applyNumberFormat="0" applyAlignment="0" applyProtection="0"/>
    <xf numFmtId="0" fontId="26" fillId="20" borderId="26" applyNumberFormat="0" applyAlignment="0" applyProtection="0"/>
    <xf numFmtId="43" fontId="1" fillId="0" borderId="0" applyFont="0" applyFill="0" applyBorder="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43" fontId="1" fillId="0" borderId="0" applyFont="0" applyFill="0" applyBorder="0" applyAlignment="0" applyProtection="0"/>
    <xf numFmtId="0" fontId="50" fillId="0" borderId="0" applyNumberFormat="0" applyFill="0" applyBorder="0" applyAlignment="0" applyProtection="0"/>
    <xf numFmtId="178" fontId="26" fillId="20" borderId="26" applyNumberFormat="0" applyAlignment="0" applyProtection="0"/>
    <xf numFmtId="178" fontId="27" fillId="21" borderId="10" applyNumberFormat="0" applyAlignment="0" applyProtection="0"/>
    <xf numFmtId="3" fontId="2" fillId="0" borderId="0" applyFont="0" applyFill="0" applyBorder="0" applyAlignment="0" applyProtection="0"/>
    <xf numFmtId="178" fontId="30" fillId="0" borderId="11" applyNumberFormat="0" applyFill="0" applyAlignment="0" applyProtection="0"/>
    <xf numFmtId="178" fontId="31" fillId="0" borderId="12" applyNumberFormat="0" applyFill="0" applyAlignment="0" applyProtection="0"/>
    <xf numFmtId="178" fontId="32" fillId="0" borderId="31" applyNumberFormat="0" applyFill="0" applyAlignment="0" applyProtection="0"/>
    <xf numFmtId="178" fontId="33" fillId="0" borderId="0" applyNumberFormat="0" applyFill="0" applyBorder="0" applyAlignment="0" applyProtection="0">
      <alignment vertical="top"/>
      <protection locked="0"/>
    </xf>
    <xf numFmtId="178" fontId="34" fillId="7" borderId="26" applyNumberFormat="0" applyAlignment="0" applyProtection="0"/>
    <xf numFmtId="178" fontId="35" fillId="0" borderId="14" applyNumberFormat="0" applyFill="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1" fillId="0" borderId="0"/>
    <xf numFmtId="0" fontId="35" fillId="0" borderId="14" applyNumberFormat="0" applyFill="0" applyAlignment="0" applyProtection="0"/>
    <xf numFmtId="0" fontId="2" fillId="23" borderId="27" applyNumberFormat="0" applyFont="0" applyAlignment="0" applyProtection="0"/>
    <xf numFmtId="0" fontId="27" fillId="21" borderId="10" applyNumberFormat="0" applyAlignment="0" applyProtection="0"/>
    <xf numFmtId="0" fontId="37" fillId="20" borderId="28" applyNumberFormat="0" applyAlignment="0" applyProtection="0"/>
    <xf numFmtId="178" fontId="35" fillId="0" borderId="14" applyNumberFormat="0" applyFill="0" applyAlignment="0" applyProtection="0"/>
    <xf numFmtId="0" fontId="1" fillId="0" borderId="0"/>
    <xf numFmtId="0" fontId="37" fillId="20" borderId="28" applyNumberFormat="0" applyAlignment="0" applyProtection="0"/>
    <xf numFmtId="0" fontId="39" fillId="0" borderId="29" applyNumberFormat="0" applyFill="0" applyAlignment="0" applyProtection="0"/>
    <xf numFmtId="43" fontId="1" fillId="0" borderId="0" applyFont="0" applyFill="0" applyBorder="0" applyAlignment="0" applyProtection="0"/>
    <xf numFmtId="0" fontId="35" fillId="0" borderId="14"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1" fillId="0" borderId="0"/>
    <xf numFmtId="43" fontId="1" fillId="0" borderId="0" applyFont="0" applyFill="0" applyBorder="0" applyAlignment="0" applyProtection="0"/>
    <xf numFmtId="0" fontId="1" fillId="0" borderId="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178" fontId="26" fillId="20" borderId="26" applyNumberFormat="0" applyAlignment="0" applyProtection="0"/>
    <xf numFmtId="178" fontId="34" fillId="7" borderId="26" applyNumberFormat="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1" fillId="0" borderId="0"/>
    <xf numFmtId="0" fontId="23" fillId="23" borderId="27" applyNumberFormat="0" applyFont="0" applyAlignment="0" applyProtection="0"/>
    <xf numFmtId="178"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178"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1" fillId="0" borderId="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178" fontId="37" fillId="20" borderId="28" applyNumberFormat="0" applyAlignment="0" applyProtection="0"/>
    <xf numFmtId="0" fontId="26" fillId="20" borderId="26" applyNumberFormat="0" applyAlignment="0" applyProtection="0"/>
    <xf numFmtId="43" fontId="1" fillId="0" borderId="0" applyFont="0" applyFill="0" applyBorder="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178" fontId="27" fillId="21" borderId="10"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1" fillId="0" borderId="0"/>
    <xf numFmtId="43" fontId="1" fillId="0" borderId="0" applyFont="0" applyFill="0" applyBorder="0" applyAlignment="0" applyProtection="0"/>
    <xf numFmtId="0" fontId="1" fillId="0" borderId="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43" fontId="1" fillId="0" borderId="0" applyFont="0" applyFill="0" applyBorder="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0" borderId="26" applyNumberFormat="0" applyAlignment="0" applyProtection="0"/>
    <xf numFmtId="178"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7" fillId="24" borderId="28" applyNumberFormat="0" applyAlignment="0" applyProtection="0"/>
    <xf numFmtId="178"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178"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6" fillId="24" borderId="26" applyNumberFormat="0" applyAlignment="0" applyProtection="0"/>
    <xf numFmtId="0" fontId="37" fillId="24"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3" fontId="2" fillId="0" borderId="0" applyFont="0" applyFill="0" applyBorder="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178" fontId="26" fillId="20" borderId="26" applyNumberFormat="0" applyAlignment="0" applyProtection="0"/>
    <xf numFmtId="178" fontId="34" fillId="7" borderId="26" applyNumberFormat="0" applyAlignment="0" applyProtection="0"/>
    <xf numFmtId="0" fontId="26" fillId="24" borderId="26" applyNumberFormat="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178"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178"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178"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178"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178"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178"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178"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178"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178"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3" fontId="2" fillId="0" borderId="0" applyFont="0" applyFill="0" applyBorder="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7" fillId="24" borderId="28"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178"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178"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178"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37" fillId="24" borderId="28"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6" fillId="24"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3" fontId="2" fillId="0" borderId="0" applyFont="0" applyFill="0" applyBorder="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178" fontId="26" fillId="20" borderId="26" applyNumberFormat="0" applyAlignment="0" applyProtection="0"/>
    <xf numFmtId="178" fontId="34" fillId="7" borderId="26" applyNumberFormat="0" applyAlignment="0" applyProtection="0"/>
    <xf numFmtId="178" fontId="32" fillId="0" borderId="31" applyNumberFormat="0" applyFill="0" applyAlignment="0" applyProtection="0"/>
    <xf numFmtId="178" fontId="34" fillId="7"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32" fillId="0" borderId="31" applyNumberFormat="0" applyFill="0" applyAlignment="0" applyProtection="0"/>
    <xf numFmtId="0" fontId="26" fillId="24"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178"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45" fillId="0" borderId="32"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178" fontId="26" fillId="20" borderId="26" applyNumberFormat="0" applyAlignment="0" applyProtection="0"/>
    <xf numFmtId="178" fontId="32" fillId="0" borderId="31" applyNumberFormat="0" applyFill="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178" fontId="26" fillId="20" borderId="26" applyNumberFormat="0" applyAlignment="0" applyProtection="0"/>
    <xf numFmtId="178" fontId="34" fillId="7" borderId="26" applyNumberFormat="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178"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178"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178"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0" borderId="26" applyNumberFormat="0" applyAlignment="0" applyProtection="0"/>
    <xf numFmtId="178"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7" fillId="24" borderId="28" applyNumberFormat="0" applyAlignment="0" applyProtection="0"/>
    <xf numFmtId="178" fontId="34" fillId="7" borderId="26" applyNumberFormat="0" applyAlignment="0" applyProtection="0"/>
    <xf numFmtId="0" fontId="26" fillId="24" borderId="26" applyNumberFormat="0" applyAlignment="0" applyProtection="0"/>
    <xf numFmtId="178" fontId="2" fillId="23" borderId="27" applyNumberFormat="0" applyFont="0" applyAlignment="0" applyProtection="0"/>
    <xf numFmtId="178"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178"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6" fillId="24" borderId="26" applyNumberFormat="0" applyAlignment="0" applyProtection="0"/>
    <xf numFmtId="0" fontId="37" fillId="24"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178" fontId="26" fillId="20" borderId="26" applyNumberFormat="0" applyAlignment="0" applyProtection="0"/>
    <xf numFmtId="178" fontId="34" fillId="7" borderId="26" applyNumberFormat="0" applyAlignment="0" applyProtection="0"/>
    <xf numFmtId="0" fontId="26" fillId="24" borderId="26" applyNumberFormat="0" applyAlignment="0" applyProtection="0"/>
    <xf numFmtId="178" fontId="34" fillId="7" borderId="26" applyNumberFormat="0" applyAlignment="0" applyProtection="0"/>
    <xf numFmtId="178" fontId="2" fillId="23" borderId="27" applyNumberFormat="0" applyFont="0" applyAlignment="0" applyProtection="0"/>
    <xf numFmtId="178" fontId="37" fillId="20" borderId="28" applyNumberFormat="0" applyAlignment="0" applyProtection="0"/>
    <xf numFmtId="178"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178"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178"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178"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178"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178"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178"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4" borderId="28" applyNumberForma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6" fillId="24"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178"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178"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178"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7" fillId="24"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30"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6" fillId="20"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34" fillId="7" borderId="26" applyNumberFormat="0" applyAlignment="0" applyProtection="0"/>
    <xf numFmtId="0" fontId="37" fillId="24" borderId="28" applyNumberFormat="0" applyAlignment="0" applyProtection="0"/>
    <xf numFmtId="0" fontId="23"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6" fillId="24"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37" fillId="24" borderId="28" applyNumberFormat="0" applyAlignment="0" applyProtection="0"/>
    <xf numFmtId="0" fontId="37" fillId="24" borderId="28" applyNumberFormat="0" applyAlignment="0" applyProtection="0"/>
    <xf numFmtId="0" fontId="37" fillId="24"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178"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26" fillId="24" borderId="26"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178" fontId="34" fillId="7"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4" borderId="28" applyNumberFormat="0" applyAlignment="0" applyProtection="0"/>
    <xf numFmtId="0" fontId="26" fillId="24" borderId="26" applyNumberFormat="0" applyAlignment="0" applyProtection="0"/>
    <xf numFmtId="0" fontId="26" fillId="24" borderId="26" applyNumberFormat="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37" fillId="20" borderId="28" applyNumberFormat="0" applyAlignment="0" applyProtection="0"/>
    <xf numFmtId="178"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3" fillId="23" borderId="27" applyNumberFormat="0" applyFont="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3" fillId="23" borderId="27" applyNumberFormat="0" applyFon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7" fillId="20" borderId="28"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29"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6" fillId="24" borderId="26" applyNumberFormat="0" applyAlignment="0" applyProtection="0"/>
    <xf numFmtId="0" fontId="2"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7" fillId="20" borderId="28" applyNumberFormat="0" applyAlignment="0" applyProtection="0"/>
    <xf numFmtId="0" fontId="26" fillId="24"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4" fillId="7" borderId="26" applyNumberFormat="0" applyAlignment="0" applyProtection="0"/>
    <xf numFmtId="0" fontId="34" fillId="7" borderId="26" applyNumberFormat="0" applyAlignment="0" applyProtection="0"/>
    <xf numFmtId="0" fontId="37" fillId="24" borderId="28" applyNumberFormat="0" applyAlignment="0" applyProtection="0"/>
    <xf numFmtId="0" fontId="37" fillId="24" borderId="28" applyNumberFormat="0" applyAlignment="0" applyProtection="0"/>
    <xf numFmtId="0" fontId="37" fillId="20" borderId="28" applyNumberFormat="0" applyAlignment="0" applyProtection="0"/>
    <xf numFmtId="0" fontId="23" fillId="23" borderId="27" applyNumberFormat="0" applyFont="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30"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4"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26" fillId="24" borderId="26" applyNumberFormat="0" applyAlignment="0" applyProtection="0"/>
    <xf numFmtId="0" fontId="26" fillId="24" borderId="26" applyNumberForma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23" fillId="23" borderId="27" applyNumberFormat="0" applyFont="0" applyAlignment="0" applyProtection="0"/>
    <xf numFmtId="0" fontId="23"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37" fillId="20" borderId="28" applyNumberFormat="0" applyAlignment="0" applyProtection="0"/>
    <xf numFmtId="0" fontId="26" fillId="24" borderId="26" applyNumberFormat="0" applyAlignment="0" applyProtection="0"/>
    <xf numFmtId="0" fontId="37" fillId="24" borderId="28"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39" fillId="0" borderId="29"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4" borderId="28" applyNumberFormat="0" applyAlignment="0" applyProtection="0"/>
    <xf numFmtId="0" fontId="37" fillId="20" borderId="28" applyNumberFormat="0" applyAlignment="0" applyProtection="0"/>
    <xf numFmtId="0" fontId="34" fillId="7"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4" fillId="7" borderId="26" applyNumberFormat="0" applyAlignment="0" applyProtection="0"/>
    <xf numFmtId="0" fontId="34" fillId="7" borderId="26" applyNumberFormat="0" applyAlignment="0" applyProtection="0"/>
    <xf numFmtId="0" fontId="37" fillId="24" borderId="28" applyNumberForma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26" fillId="20" borderId="26" applyNumberFormat="0" applyAlignment="0" applyProtection="0"/>
    <xf numFmtId="0" fontId="37" fillId="24" borderId="28" applyNumberFormat="0" applyAlignment="0" applyProtection="0"/>
    <xf numFmtId="0" fontId="37" fillId="24" borderId="28"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6" fillId="20" borderId="26" applyNumberFormat="0" applyAlignment="0" applyProtection="0"/>
    <xf numFmtId="0" fontId="23"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7" fillId="24" borderId="28" applyNumberFormat="0" applyAlignment="0" applyProtection="0"/>
    <xf numFmtId="0" fontId="37" fillId="24" borderId="28" applyNumberFormat="0" applyAlignment="0" applyProtection="0"/>
    <xf numFmtId="0" fontId="23" fillId="23" borderId="27" applyNumberFormat="0" applyFon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26" fillId="20" borderId="26" applyNumberFormat="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4"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37" fillId="24" borderId="28" applyNumberFormat="0" applyAlignment="0" applyProtection="0"/>
    <xf numFmtId="0" fontId="34" fillId="7"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23"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6" fillId="24" borderId="26" applyNumberFormat="0" applyAlignment="0" applyProtection="0"/>
    <xf numFmtId="0" fontId="26" fillId="20" borderId="26" applyNumberFormat="0" applyAlignment="0" applyProtection="0"/>
    <xf numFmtId="0" fontId="26" fillId="24" borderId="26" applyNumberFormat="0" applyAlignment="0" applyProtection="0"/>
    <xf numFmtId="0" fontId="39" fillId="0" borderId="29" applyNumberFormat="0" applyFill="0" applyAlignment="0" applyProtection="0"/>
    <xf numFmtId="0" fontId="39" fillId="0" borderId="30" applyNumberFormat="0" applyFill="0" applyAlignment="0" applyProtection="0"/>
    <xf numFmtId="0" fontId="37" fillId="24" borderId="28" applyNumberFormat="0" applyAlignment="0" applyProtection="0"/>
    <xf numFmtId="0" fontId="26" fillId="24" borderId="26" applyNumberFormat="0" applyAlignment="0" applyProtection="0"/>
    <xf numFmtId="0" fontId="39" fillId="0" borderId="29" applyNumberFormat="0" applyFill="0" applyAlignment="0" applyProtection="0"/>
    <xf numFmtId="0" fontId="23"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26" fillId="24"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0" fontId="34" fillId="7" borderId="26" applyNumberFormat="0" applyAlignment="0" applyProtection="0"/>
    <xf numFmtId="0" fontId="26" fillId="20" borderId="26" applyNumberFormat="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26" fillId="24" borderId="26" applyNumberFormat="0" applyAlignment="0" applyProtection="0"/>
    <xf numFmtId="178" fontId="2" fillId="23" borderId="27" applyNumberFormat="0" applyFont="0" applyAlignment="0" applyProtection="0"/>
    <xf numFmtId="0" fontId="2" fillId="23" borderId="27" applyNumberFormat="0" applyFon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7" borderId="26" applyNumberFormat="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39" fillId="0" borderId="30" applyNumberFormat="0" applyFill="0" applyAlignment="0" applyProtection="0"/>
    <xf numFmtId="0" fontId="26" fillId="20" borderId="26" applyNumberFormat="0" applyAlignment="0" applyProtection="0"/>
    <xf numFmtId="0" fontId="23" fillId="23" borderId="27" applyNumberFormat="0" applyFont="0" applyAlignment="0" applyProtection="0"/>
    <xf numFmtId="0" fontId="39" fillId="0" borderId="30" applyNumberFormat="0" applyFill="0" applyAlignment="0" applyProtection="0"/>
    <xf numFmtId="0" fontId="23" fillId="23" borderId="27" applyNumberFormat="0" applyFont="0" applyAlignment="0" applyProtection="0"/>
    <xf numFmtId="0" fontId="39" fillId="0" borderId="29" applyNumberFormat="0" applyFill="0" applyAlignment="0" applyProtection="0"/>
    <xf numFmtId="0" fontId="39" fillId="0" borderId="30" applyNumberFormat="0" applyFill="0" applyAlignment="0" applyProtection="0"/>
    <xf numFmtId="0" fontId="23"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26" fillId="20"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7" fillId="20"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4" fillId="7" borderId="26"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4" fillId="7"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26" fillId="24" borderId="26" applyNumberFormat="0" applyAlignment="0" applyProtection="0"/>
    <xf numFmtId="0" fontId="37" fillId="24" borderId="28" applyNumberFormat="0" applyAlignment="0" applyProtection="0"/>
    <xf numFmtId="0" fontId="37" fillId="20" borderId="28" applyNumberForma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4" fillId="7"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2" fillId="23" borderId="27" applyNumberFormat="0" applyFont="0" applyAlignment="0" applyProtection="0"/>
    <xf numFmtId="0" fontId="39" fillId="0" borderId="29" applyNumberFormat="0" applyFill="0" applyAlignment="0" applyProtection="0"/>
    <xf numFmtId="0" fontId="26" fillId="20" borderId="26" applyNumberFormat="0" applyAlignment="0" applyProtection="0"/>
    <xf numFmtId="0" fontId="39" fillId="0" borderId="30" applyNumberFormat="0" applyFill="0" applyAlignment="0" applyProtection="0"/>
    <xf numFmtId="0" fontId="26" fillId="20" borderId="26" applyNumberFormat="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 fillId="23" borderId="27" applyNumberFormat="0" applyFon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3" fillId="23" borderId="27" applyNumberFormat="0" applyFont="0" applyAlignment="0" applyProtection="0"/>
    <xf numFmtId="0" fontId="26" fillId="24"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34" fillId="7" borderId="26" applyNumberFormat="0" applyAlignment="0" applyProtection="0"/>
    <xf numFmtId="0" fontId="26" fillId="20" borderId="26" applyNumberFormat="0" applyAlignment="0" applyProtection="0"/>
    <xf numFmtId="0" fontId="2" fillId="23" borderId="27" applyNumberFormat="0" applyFont="0" applyAlignment="0" applyProtection="0"/>
    <xf numFmtId="0" fontId="39" fillId="0" borderId="29"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7" fillId="20" borderId="28" applyNumberFormat="0" applyAlignment="0" applyProtection="0"/>
    <xf numFmtId="0" fontId="37" fillId="20"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9" fillId="0" borderId="29" applyNumberFormat="0" applyFill="0" applyAlignment="0" applyProtection="0"/>
    <xf numFmtId="0" fontId="26" fillId="20"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37" fillId="20" borderId="28" applyNumberFormat="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7" fillId="20" borderId="28" applyNumberFormat="0" applyAlignment="0" applyProtection="0"/>
    <xf numFmtId="0" fontId="37" fillId="20" borderId="28" applyNumberFormat="0" applyAlignment="0" applyProtection="0"/>
    <xf numFmtId="0" fontId="39" fillId="0" borderId="30" applyNumberFormat="0" applyFill="0" applyAlignment="0" applyProtection="0"/>
    <xf numFmtId="0" fontId="37" fillId="24" borderId="28" applyNumberFormat="0" applyAlignment="0" applyProtection="0"/>
    <xf numFmtId="0" fontId="26" fillId="20" borderId="26" applyNumberFormat="0" applyAlignment="0" applyProtection="0"/>
    <xf numFmtId="0" fontId="39" fillId="0" borderId="29" applyNumberFormat="0" applyFill="0" applyAlignment="0" applyProtection="0"/>
    <xf numFmtId="0" fontId="2" fillId="23" borderId="27" applyNumberFormat="0" applyFont="0" applyAlignment="0" applyProtection="0"/>
    <xf numFmtId="0" fontId="26" fillId="20" borderId="26" applyNumberFormat="0" applyAlignment="0" applyProtection="0"/>
    <xf numFmtId="0" fontId="37" fillId="20" borderId="28" applyNumberFormat="0" applyAlignment="0" applyProtection="0"/>
    <xf numFmtId="0" fontId="26" fillId="20" borderId="26" applyNumberFormat="0" applyAlignment="0" applyProtection="0"/>
    <xf numFmtId="0" fontId="2" fillId="23" borderId="27" applyNumberFormat="0" applyFont="0" applyAlignment="0" applyProtection="0"/>
    <xf numFmtId="0" fontId="2" fillId="23" borderId="27" applyNumberFormat="0" applyFont="0" applyAlignment="0" applyProtection="0"/>
    <xf numFmtId="0" fontId="39" fillId="0" borderId="30" applyNumberFormat="0" applyFill="0" applyAlignment="0" applyProtection="0"/>
    <xf numFmtId="0" fontId="34" fillId="7" borderId="26" applyNumberFormat="0" applyAlignment="0" applyProtection="0"/>
    <xf numFmtId="0" fontId="39" fillId="0" borderId="29" applyNumberFormat="0" applyFill="0" applyAlignment="0" applyProtection="0"/>
    <xf numFmtId="0" fontId="37" fillId="20" borderId="28" applyNumberFormat="0" applyAlignment="0" applyProtection="0"/>
    <xf numFmtId="0" fontId="39" fillId="0" borderId="30" applyNumberFormat="0" applyFill="0" applyAlignment="0" applyProtection="0"/>
    <xf numFmtId="0" fontId="37" fillId="20" borderId="28" applyNumberFormat="0" applyAlignment="0" applyProtection="0"/>
    <xf numFmtId="0" fontId="2" fillId="23" borderId="27" applyNumberFormat="0" applyFont="0" applyAlignment="0" applyProtection="0"/>
    <xf numFmtId="0" fontId="39" fillId="0" borderId="30" applyNumberFormat="0" applyFill="0" applyAlignment="0" applyProtection="0"/>
    <xf numFmtId="0" fontId="39" fillId="0" borderId="29" applyNumberFormat="0" applyFill="0" applyAlignment="0" applyProtection="0"/>
    <xf numFmtId="0" fontId="2" fillId="23" borderId="27" applyNumberFormat="0" applyFont="0" applyAlignment="0" applyProtection="0"/>
    <xf numFmtId="0" fontId="37" fillId="20" borderId="28" applyNumberFormat="0" applyAlignment="0" applyProtection="0"/>
    <xf numFmtId="0" fontId="26" fillId="20"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34" fillId="7" borderId="26" applyNumberFormat="0" applyAlignment="0" applyProtection="0"/>
    <xf numFmtId="0" fontId="2" fillId="23" borderId="27" applyNumberFormat="0" applyFont="0" applyAlignment="0" applyProtection="0"/>
    <xf numFmtId="0" fontId="34" fillId="7" borderId="26" applyNumberFormat="0" applyAlignment="0" applyProtection="0"/>
    <xf numFmtId="0" fontId="26" fillId="20" borderId="26"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26" fillId="20" borderId="26" applyNumberFormat="0" applyAlignment="0" applyProtection="0"/>
    <xf numFmtId="0" fontId="34" fillId="7" borderId="26"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0" borderId="26" applyNumberFormat="0" applyAlignment="0" applyProtection="0"/>
    <xf numFmtId="0" fontId="34" fillId="7" borderId="26"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39" fillId="0" borderId="30" applyNumberFormat="0" applyFill="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4" borderId="26" applyNumberFormat="0" applyAlignment="0" applyProtection="0"/>
    <xf numFmtId="0" fontId="23" fillId="23" borderId="27" applyNumberFormat="0" applyFont="0" applyAlignment="0" applyProtection="0"/>
    <xf numFmtId="0" fontId="37" fillId="24" borderId="28" applyNumberFormat="0" applyAlignment="0" applyProtection="0"/>
    <xf numFmtId="0" fontId="26" fillId="20" borderId="26" applyNumberFormat="0" applyAlignment="0" applyProtection="0"/>
    <xf numFmtId="0" fontId="34" fillId="7" borderId="26" applyNumberFormat="0" applyAlignment="0" applyProtection="0"/>
    <xf numFmtId="0" fontId="2" fillId="23" borderId="27" applyNumberFormat="0" applyFont="0" applyAlignment="0" applyProtection="0"/>
    <xf numFmtId="0" fontId="37" fillId="20" borderId="28" applyNumberFormat="0" applyAlignment="0" applyProtection="0"/>
    <xf numFmtId="43" fontId="2" fillId="0" borderId="0" applyFont="0" applyFill="0" applyBorder="0" applyAlignment="0" applyProtection="0"/>
    <xf numFmtId="0" fontId="51" fillId="0" borderId="0" applyNumberFormat="0" applyFill="0" applyBorder="0" applyAlignment="0" applyProtection="0"/>
    <xf numFmtId="0" fontId="2" fillId="0" borderId="0"/>
    <xf numFmtId="179" fontId="2" fillId="0" borderId="0"/>
    <xf numFmtId="0" fontId="1" fillId="0" borderId="0"/>
    <xf numFmtId="9" fontId="1" fillId="0" borderId="0" applyFont="0" applyFill="0" applyBorder="0" applyAlignment="0" applyProtection="0"/>
    <xf numFmtId="179" fontId="2" fillId="0" borderId="0"/>
    <xf numFmtId="43" fontId="1" fillId="0" borderId="0" applyFont="0" applyFill="0" applyBorder="0" applyAlignment="0" applyProtection="0"/>
    <xf numFmtId="0" fontId="58" fillId="28" borderId="43" applyNumberFormat="0" applyAlignment="0" applyProtection="0"/>
    <xf numFmtId="0" fontId="2" fillId="0" borderId="8"/>
    <xf numFmtId="3" fontId="2" fillId="0" borderId="0" applyFont="0" applyFill="0" applyBorder="0" applyAlignment="0" applyProtection="0"/>
  </cellStyleXfs>
  <cellXfs count="484">
    <xf numFmtId="0" fontId="0" fillId="0" borderId="0" xfId="0"/>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7"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10" fillId="0" borderId="0" xfId="0" applyFont="1" applyAlignment="1" applyProtection="1">
      <alignment vertical="center"/>
      <protection locked="0"/>
    </xf>
    <xf numFmtId="0" fontId="5" fillId="0" borderId="0" xfId="0" applyFont="1" applyAlignment="1" applyProtection="1">
      <alignment vertical="center" wrapText="1"/>
      <protection locked="0"/>
    </xf>
    <xf numFmtId="0" fontId="5" fillId="0" borderId="0" xfId="0" applyFont="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3" fontId="11" fillId="0" borderId="0" xfId="0" applyNumberFormat="1" applyFont="1" applyAlignment="1" applyProtection="1">
      <alignment horizontal="center" vertical="center"/>
      <protection locked="0"/>
    </xf>
    <xf numFmtId="165" fontId="11" fillId="0" borderId="0" xfId="0" applyNumberFormat="1" applyFont="1" applyAlignment="1" applyProtection="1">
      <alignment horizontal="center" vertical="center"/>
      <protection locked="0"/>
    </xf>
    <xf numFmtId="166" fontId="11" fillId="0" borderId="0" xfId="1" applyNumberFormat="1" applyFont="1" applyFill="1" applyBorder="1" applyAlignment="1" applyProtection="1">
      <alignment horizontal="center" vertical="center" wrapText="1"/>
    </xf>
    <xf numFmtId="0" fontId="11" fillId="0" borderId="0" xfId="0" applyFont="1" applyAlignment="1" applyProtection="1">
      <alignment horizontal="center" vertical="center" wrapText="1"/>
      <protection locked="0"/>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right" vertical="center"/>
    </xf>
    <xf numFmtId="3" fontId="11" fillId="0" borderId="0" xfId="0" applyNumberFormat="1" applyFont="1" applyAlignment="1">
      <alignment horizontal="center" vertical="center"/>
    </xf>
    <xf numFmtId="3" fontId="11" fillId="0" borderId="0" xfId="0" applyNumberFormat="1" applyFont="1" applyAlignment="1" applyProtection="1">
      <alignment horizontal="right" vertical="center"/>
      <protection locked="0"/>
    </xf>
    <xf numFmtId="3" fontId="11" fillId="0" borderId="0" xfId="0" applyNumberFormat="1" applyFont="1" applyAlignment="1" applyProtection="1">
      <alignment horizontal="left" vertical="center"/>
      <protection locked="0"/>
    </xf>
    <xf numFmtId="3" fontId="11" fillId="0" borderId="0" xfId="0" applyNumberFormat="1" applyFont="1" applyAlignment="1" applyProtection="1">
      <alignment vertical="center"/>
      <protection locked="0"/>
    </xf>
    <xf numFmtId="37" fontId="11" fillId="0" borderId="0" xfId="0" applyNumberFormat="1" applyFont="1" applyAlignment="1" applyProtection="1">
      <alignment horizontal="right" vertical="center"/>
      <protection locked="0"/>
    </xf>
    <xf numFmtId="3" fontId="11" fillId="0" borderId="0" xfId="0" applyNumberFormat="1" applyFont="1" applyAlignment="1">
      <alignment horizontal="right" vertical="center"/>
    </xf>
    <xf numFmtId="37" fontId="11" fillId="0" borderId="0" xfId="1" applyNumberFormat="1" applyFont="1" applyFill="1" applyBorder="1" applyAlignment="1" applyProtection="1">
      <alignment vertical="center"/>
      <protection locked="0"/>
    </xf>
    <xf numFmtId="3" fontId="11" fillId="0" borderId="0" xfId="0" applyNumberFormat="1" applyFont="1" applyAlignment="1">
      <alignment horizontal="left" vertical="center"/>
    </xf>
    <xf numFmtId="3" fontId="3" fillId="0" borderId="0" xfId="0" applyNumberFormat="1" applyFont="1" applyAlignment="1">
      <alignment horizontal="right" vertical="center" wrapText="1"/>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3" fontId="3" fillId="0" borderId="0" xfId="0" applyNumberFormat="1" applyFont="1" applyAlignment="1" applyProtection="1">
      <alignment horizontal="right" vertical="center"/>
      <protection locked="0"/>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pplyProtection="1">
      <alignment vertical="center" wrapText="1"/>
      <protection locked="0"/>
    </xf>
    <xf numFmtId="0" fontId="12" fillId="0" borderId="0" xfId="0" applyFont="1" applyAlignment="1">
      <alignment horizontal="center" vertical="center"/>
    </xf>
    <xf numFmtId="2" fontId="13" fillId="0" borderId="0" xfId="0" applyNumberFormat="1" applyFont="1" applyAlignment="1">
      <alignment horizontal="center" vertical="center"/>
    </xf>
    <xf numFmtId="0" fontId="13" fillId="0" borderId="0" xfId="0" applyFont="1" applyAlignment="1">
      <alignment horizontal="left" vertical="center" wrapText="1"/>
    </xf>
    <xf numFmtId="4" fontId="12" fillId="0" borderId="0" xfId="0" applyNumberFormat="1" applyFont="1" applyAlignment="1">
      <alignment horizontal="center" vertical="center"/>
    </xf>
    <xf numFmtId="4" fontId="6" fillId="0" borderId="0" xfId="0" applyNumberFormat="1" applyFont="1" applyAlignment="1">
      <alignment horizontal="center" vertical="center"/>
    </xf>
    <xf numFmtId="39" fontId="11" fillId="0" borderId="0" xfId="0" applyNumberFormat="1" applyFont="1" applyAlignment="1">
      <alignment horizontal="center" vertical="center"/>
    </xf>
    <xf numFmtId="37" fontId="14" fillId="0" borderId="0" xfId="1" applyNumberFormat="1" applyFont="1" applyFill="1" applyBorder="1" applyAlignment="1" applyProtection="1">
      <alignment horizontal="center" vertical="center"/>
    </xf>
    <xf numFmtId="37" fontId="15" fillId="0" borderId="0" xfId="1" applyNumberFormat="1" applyFont="1" applyFill="1" applyBorder="1" applyAlignment="1" applyProtection="1">
      <alignment horizontal="center" vertical="center"/>
    </xf>
    <xf numFmtId="37" fontId="15" fillId="0" borderId="0" xfId="0" applyNumberFormat="1" applyFont="1" applyAlignment="1">
      <alignment horizontal="center" vertical="center"/>
    </xf>
    <xf numFmtId="39" fontId="15" fillId="0" borderId="0" xfId="0" applyNumberFormat="1" applyFont="1" applyAlignment="1">
      <alignment horizontal="center" vertical="center"/>
    </xf>
    <xf numFmtId="39" fontId="13" fillId="0" borderId="0" xfId="1" applyNumberFormat="1" applyFont="1" applyFill="1" applyBorder="1" applyAlignment="1" applyProtection="1">
      <alignment horizontal="center" vertical="center"/>
    </xf>
    <xf numFmtId="39" fontId="15" fillId="0" borderId="0" xfId="0" applyNumberFormat="1" applyFont="1" applyAlignment="1">
      <alignment horizontal="right" vertical="center"/>
    </xf>
    <xf numFmtId="0" fontId="3" fillId="0" borderId="0" xfId="0" applyFont="1" applyAlignment="1">
      <alignment horizontal="center" vertical="center"/>
    </xf>
    <xf numFmtId="2" fontId="11" fillId="0" borderId="0" xfId="0" applyNumberFormat="1" applyFont="1" applyAlignment="1">
      <alignment horizontal="center" vertical="center"/>
    </xf>
    <xf numFmtId="37" fontId="14" fillId="0" borderId="0" xfId="0" applyNumberFormat="1"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vertical="center"/>
    </xf>
    <xf numFmtId="4" fontId="11" fillId="0" borderId="0" xfId="0" applyNumberFormat="1" applyFont="1" applyAlignment="1" applyProtection="1">
      <alignment vertical="center"/>
      <protection locked="0"/>
    </xf>
    <xf numFmtId="0" fontId="14" fillId="0" borderId="0" xfId="0" applyFont="1" applyAlignment="1">
      <alignment horizontal="left" vertical="center"/>
    </xf>
    <xf numFmtId="3" fontId="3" fillId="0" borderId="0" xfId="0" applyNumberFormat="1" applyFont="1" applyAlignment="1">
      <alignment horizontal="center" vertical="center"/>
    </xf>
    <xf numFmtId="4" fontId="11" fillId="0" borderId="0" xfId="0" applyNumberFormat="1" applyFont="1" applyAlignment="1">
      <alignment vertical="center"/>
    </xf>
    <xf numFmtId="2" fontId="3" fillId="0" borderId="0" xfId="0" applyNumberFormat="1" applyFont="1" applyAlignment="1">
      <alignment horizontal="center" vertical="center"/>
    </xf>
    <xf numFmtId="43" fontId="8" fillId="0" borderId="0" xfId="0" applyNumberFormat="1" applyFont="1" applyAlignment="1">
      <alignment horizontal="right" vertical="center"/>
    </xf>
    <xf numFmtId="0" fontId="13" fillId="0" borderId="0" xfId="0" applyFont="1" applyAlignment="1">
      <alignment horizontal="left" vertical="center"/>
    </xf>
    <xf numFmtId="4" fontId="13" fillId="0" borderId="0" xfId="0" applyNumberFormat="1" applyFont="1" applyAlignment="1">
      <alignment horizontal="center" vertical="center"/>
    </xf>
    <xf numFmtId="39" fontId="13" fillId="0" borderId="0" xfId="0" applyNumberFormat="1" applyFont="1" applyAlignment="1">
      <alignment horizontal="center" vertical="center"/>
    </xf>
    <xf numFmtId="4" fontId="11" fillId="0" borderId="0" xfId="0" applyNumberFormat="1" applyFont="1" applyAlignment="1" applyProtection="1">
      <alignment horizontal="center" vertical="center"/>
      <protection locked="0"/>
    </xf>
    <xf numFmtId="0" fontId="15" fillId="0" borderId="0" xfId="0" applyFont="1" applyAlignment="1">
      <alignment horizontal="right" vertical="center"/>
    </xf>
    <xf numFmtId="2" fontId="3" fillId="0" borderId="0" xfId="0" applyNumberFormat="1" applyFont="1" applyAlignment="1">
      <alignment horizontal="right" vertical="center"/>
    </xf>
    <xf numFmtId="0" fontId="11" fillId="0" borderId="0" xfId="0" applyFont="1" applyAlignment="1">
      <alignment horizontal="center" vertical="center"/>
    </xf>
    <xf numFmtId="43" fontId="3" fillId="0" borderId="0" xfId="0" applyNumberFormat="1" applyFont="1" applyAlignment="1">
      <alignment vertical="center"/>
    </xf>
    <xf numFmtId="2" fontId="3" fillId="0" borderId="0" xfId="0" applyNumberFormat="1" applyFont="1" applyAlignment="1">
      <alignment vertical="center"/>
    </xf>
    <xf numFmtId="0" fontId="15" fillId="0" borderId="0" xfId="0" applyFont="1" applyAlignment="1">
      <alignment horizontal="right" vertical="center" wrapText="1"/>
    </xf>
    <xf numFmtId="39" fontId="3" fillId="0" borderId="0" xfId="0" applyNumberFormat="1" applyFont="1" applyAlignment="1">
      <alignment vertical="center"/>
    </xf>
    <xf numFmtId="43" fontId="8" fillId="0" borderId="0" xfId="0" applyNumberFormat="1" applyFont="1" applyAlignment="1">
      <alignment horizontal="center" vertical="center"/>
    </xf>
    <xf numFmtId="2" fontId="11" fillId="0" borderId="0" xfId="0" applyNumberFormat="1" applyFont="1" applyAlignment="1">
      <alignment vertical="center"/>
    </xf>
    <xf numFmtId="170" fontId="3" fillId="0" borderId="0" xfId="0" applyNumberFormat="1" applyFont="1" applyAlignment="1">
      <alignment vertical="center"/>
    </xf>
    <xf numFmtId="0" fontId="14" fillId="0" borderId="0" xfId="0" applyFont="1" applyAlignment="1">
      <alignment horizontal="right" vertical="center"/>
    </xf>
    <xf numFmtId="170" fontId="13" fillId="0" borderId="0" xfId="0" applyNumberFormat="1" applyFont="1" applyAlignment="1">
      <alignment horizontal="center" vertical="center"/>
    </xf>
    <xf numFmtId="2" fontId="8" fillId="0" borderId="0" xfId="0" applyNumberFormat="1" applyFont="1" applyAlignment="1">
      <alignment vertical="center"/>
    </xf>
    <xf numFmtId="0" fontId="8" fillId="0" borderId="0" xfId="0" applyFont="1" applyAlignment="1">
      <alignment vertical="center"/>
    </xf>
    <xf numFmtId="2" fontId="3" fillId="0" borderId="0" xfId="0" applyNumberFormat="1" applyFont="1" applyAlignment="1">
      <alignment vertical="center" wrapText="1"/>
    </xf>
    <xf numFmtId="2" fontId="3" fillId="0" borderId="0" xfId="0" applyNumberFormat="1" applyFont="1" applyAlignment="1" applyProtection="1">
      <alignment vertical="center"/>
      <protection locked="0"/>
    </xf>
    <xf numFmtId="0" fontId="8" fillId="0" borderId="0" xfId="0" applyFont="1" applyAlignment="1">
      <alignment vertical="center" wrapText="1"/>
    </xf>
    <xf numFmtId="0" fontId="0" fillId="0" borderId="0" xfId="0" applyAlignment="1">
      <alignment vertical="center"/>
    </xf>
    <xf numFmtId="0" fontId="17" fillId="0" borderId="0" xfId="0" applyFont="1" applyAlignment="1">
      <alignment vertical="center"/>
    </xf>
    <xf numFmtId="39" fontId="0" fillId="0" borderId="0" xfId="1" applyNumberFormat="1" applyFont="1" applyFill="1" applyBorder="1" applyAlignment="1">
      <alignment horizontal="center" vertical="center"/>
    </xf>
    <xf numFmtId="0" fontId="5" fillId="0" borderId="0" xfId="0" applyFont="1" applyAlignment="1" applyProtection="1">
      <alignment horizontal="center" vertical="center" wrapText="1"/>
      <protection locked="0"/>
    </xf>
    <xf numFmtId="3" fontId="0" fillId="0" borderId="0" xfId="0" applyNumberFormat="1" applyAlignment="1">
      <alignment horizontal="center" vertical="center"/>
    </xf>
    <xf numFmtId="0" fontId="3" fillId="0" borderId="0" xfId="0" applyFont="1" applyAlignment="1" applyProtection="1">
      <alignment horizontal="right" vertical="center"/>
      <protection locked="0"/>
    </xf>
    <xf numFmtId="39" fontId="19" fillId="0" borderId="0" xfId="1" applyNumberFormat="1" applyFont="1" applyFill="1" applyBorder="1" applyAlignment="1">
      <alignment horizontal="center" vertical="center"/>
    </xf>
    <xf numFmtId="0" fontId="0" fillId="0" borderId="0" xfId="0" applyAlignment="1">
      <alignment vertical="top" wrapText="1"/>
    </xf>
    <xf numFmtId="0" fontId="0" fillId="0" borderId="1" xfId="0" applyBorder="1" applyAlignment="1">
      <alignment horizontal="right" vertical="center"/>
    </xf>
    <xf numFmtId="0" fontId="11" fillId="0" borderId="1" xfId="0" applyFont="1" applyBorder="1" applyAlignment="1" applyProtection="1">
      <alignment horizontal="right" vertical="center"/>
      <protection locked="0"/>
    </xf>
    <xf numFmtId="0" fontId="53" fillId="0" borderId="0" xfId="0" applyFont="1" applyAlignment="1">
      <alignment vertical="center"/>
    </xf>
    <xf numFmtId="0" fontId="11" fillId="0" borderId="0" xfId="0" applyFont="1" applyAlignment="1" applyProtection="1">
      <alignment horizontal="right" vertical="center"/>
      <protection locked="0"/>
    </xf>
    <xf numFmtId="0" fontId="0" fillId="0" borderId="1" xfId="0" applyBorder="1" applyAlignment="1">
      <alignment horizontal="right" vertical="center" wrapText="1"/>
    </xf>
    <xf numFmtId="0" fontId="0" fillId="0" borderId="0" xfId="0" applyAlignment="1">
      <alignment horizontal="right" vertical="center"/>
    </xf>
    <xf numFmtId="0" fontId="0" fillId="0" borderId="0" xfId="0" applyAlignment="1">
      <alignment horizontal="right" vertical="center" wrapText="1"/>
    </xf>
    <xf numFmtId="0" fontId="8" fillId="0" borderId="0" xfId="0" applyFont="1" applyAlignment="1" applyProtection="1">
      <alignment vertical="center"/>
      <protection locked="0"/>
    </xf>
    <xf numFmtId="0" fontId="21" fillId="0" borderId="0" xfId="0" applyFont="1" applyAlignment="1">
      <alignment horizontal="center" vertical="center"/>
    </xf>
    <xf numFmtId="0" fontId="8" fillId="0" borderId="0" xfId="0" applyFont="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18" fillId="0" borderId="0" xfId="0" applyFont="1" applyAlignment="1">
      <alignment horizontal="center" vertical="center"/>
    </xf>
    <xf numFmtId="0" fontId="3" fillId="0" borderId="36" xfId="0" applyFont="1" applyBorder="1" applyAlignment="1" applyProtection="1">
      <alignment vertical="center"/>
      <protection locked="0"/>
    </xf>
    <xf numFmtId="0" fontId="3" fillId="0" borderId="34" xfId="0" applyFont="1" applyBorder="1" applyAlignment="1" applyProtection="1">
      <alignment vertical="center"/>
      <protection locked="0"/>
    </xf>
    <xf numFmtId="0" fontId="3" fillId="0" borderId="38" xfId="0" applyFont="1" applyBorder="1" applyAlignment="1" applyProtection="1">
      <alignment vertical="center"/>
      <protection locked="0"/>
    </xf>
    <xf numFmtId="3" fontId="5" fillId="0" borderId="0" xfId="0" applyNumberFormat="1" applyFont="1" applyAlignment="1" applyProtection="1">
      <alignment horizontal="center" vertical="center"/>
      <protection locked="0"/>
    </xf>
    <xf numFmtId="0" fontId="0" fillId="0" borderId="0" xfId="0" applyAlignment="1">
      <alignment horizontal="center" vertical="center"/>
    </xf>
    <xf numFmtId="0" fontId="54" fillId="0" borderId="0" xfId="0" applyFont="1" applyAlignment="1" applyProtection="1">
      <alignment horizontal="left" indent="6"/>
      <protection locked="0"/>
    </xf>
    <xf numFmtId="0" fontId="54" fillId="0" borderId="0" xfId="0" applyFont="1" applyAlignment="1" applyProtection="1">
      <alignment vertical="center"/>
      <protection locked="0"/>
    </xf>
    <xf numFmtId="0" fontId="54" fillId="0" borderId="0" xfId="0" applyFont="1" applyAlignment="1" applyProtection="1">
      <alignment horizontal="left" vertical="top" indent="6"/>
      <protection locked="0"/>
    </xf>
    <xf numFmtId="0" fontId="18" fillId="0" borderId="0" xfId="0" applyFont="1" applyAlignment="1">
      <alignment vertical="center"/>
    </xf>
    <xf numFmtId="0" fontId="56" fillId="0" borderId="0" xfId="0" quotePrefix="1" applyFont="1" applyAlignment="1">
      <alignment horizontal="center" vertical="center"/>
    </xf>
    <xf numFmtId="0" fontId="0" fillId="0" borderId="1" xfId="0" applyBorder="1" applyAlignment="1">
      <alignment vertical="center"/>
    </xf>
    <xf numFmtId="0" fontId="3" fillId="0" borderId="1" xfId="0" applyFont="1" applyBorder="1" applyAlignment="1" applyProtection="1">
      <alignment vertical="center"/>
      <protection locked="0"/>
    </xf>
    <xf numFmtId="180" fontId="11" fillId="0" borderId="0" xfId="0" applyNumberFormat="1" applyFont="1" applyAlignment="1" applyProtection="1">
      <alignment horizontal="center" vertical="center"/>
      <protection locked="0"/>
    </xf>
    <xf numFmtId="0" fontId="50" fillId="0" borderId="1" xfId="45816" applyBorder="1" applyAlignment="1">
      <alignment horizontal="center" vertical="center"/>
    </xf>
    <xf numFmtId="170" fontId="0" fillId="0" borderId="0" xfId="0" applyNumberFormat="1" applyAlignment="1">
      <alignment vertical="center"/>
    </xf>
    <xf numFmtId="37" fontId="0" fillId="0" borderId="1" xfId="1" applyNumberFormat="1" applyFont="1" applyFill="1" applyBorder="1" applyAlignment="1">
      <alignment horizontal="right" vertical="center"/>
    </xf>
    <xf numFmtId="0" fontId="22" fillId="0" borderId="0" xfId="0" applyFont="1" applyAlignment="1" applyProtection="1">
      <alignment horizontal="right" vertical="center"/>
      <protection locked="0"/>
    </xf>
    <xf numFmtId="0" fontId="0" fillId="0" borderId="0" xfId="0" applyAlignment="1">
      <alignment vertical="center" wrapText="1"/>
    </xf>
    <xf numFmtId="0" fontId="0" fillId="0" borderId="42" xfId="0" applyBorder="1" applyAlignment="1">
      <alignment vertical="center"/>
    </xf>
    <xf numFmtId="0" fontId="11" fillId="0" borderId="41" xfId="0" applyFont="1" applyBorder="1" applyAlignment="1" applyProtection="1">
      <alignment horizontal="center" vertical="center" wrapText="1"/>
      <protection locked="0"/>
    </xf>
    <xf numFmtId="37" fontId="0" fillId="0" borderId="1" xfId="0" applyNumberFormat="1" applyBorder="1" applyAlignment="1">
      <alignment horizontal="left" vertical="center"/>
    </xf>
    <xf numFmtId="0" fontId="0" fillId="0" borderId="4"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4" xfId="0" applyBorder="1" applyAlignment="1">
      <alignment horizontal="left" vertical="center"/>
    </xf>
    <xf numFmtId="3" fontId="0" fillId="0" borderId="4" xfId="1" applyNumberFormat="1" applyFont="1" applyFill="1" applyBorder="1" applyAlignment="1">
      <alignment horizontal="left" vertical="center"/>
    </xf>
    <xf numFmtId="183" fontId="16" fillId="0" borderId="0" xfId="0" applyNumberFormat="1" applyFont="1" applyAlignment="1" applyProtection="1">
      <alignment vertical="center"/>
      <protection locked="0"/>
    </xf>
    <xf numFmtId="0" fontId="0" fillId="0" borderId="0" xfId="0" applyAlignment="1">
      <alignment horizontal="left" vertical="center"/>
    </xf>
    <xf numFmtId="0" fontId="56" fillId="0" borderId="1" xfId="0" applyFont="1" applyBorder="1" applyAlignment="1">
      <alignment horizontal="left" vertical="center"/>
    </xf>
    <xf numFmtId="0" fontId="56" fillId="0" borderId="0" xfId="0" applyFont="1" applyAlignment="1">
      <alignment vertical="center"/>
    </xf>
    <xf numFmtId="0" fontId="10" fillId="0" borderId="0" xfId="0" applyFont="1" applyAlignment="1">
      <alignment horizontal="center" vertical="center"/>
    </xf>
    <xf numFmtId="0" fontId="12" fillId="0" borderId="0" xfId="0" applyFont="1" applyAlignment="1">
      <alignment vertical="center"/>
    </xf>
    <xf numFmtId="0" fontId="56" fillId="0" borderId="0" xfId="0" applyFont="1" applyAlignment="1">
      <alignment horizontal="center" vertical="center"/>
    </xf>
    <xf numFmtId="0" fontId="16" fillId="0" borderId="1" xfId="0" applyFont="1" applyBorder="1" applyAlignment="1">
      <alignment horizontal="right" vertical="center"/>
    </xf>
    <xf numFmtId="43" fontId="20" fillId="0" borderId="0" xfId="1" applyFont="1" applyFill="1" applyBorder="1" applyAlignment="1">
      <alignment horizontal="center" vertical="center"/>
    </xf>
    <xf numFmtId="184" fontId="16" fillId="0" borderId="0" xfId="0" applyNumberFormat="1" applyFont="1" applyAlignment="1" applyProtection="1">
      <alignment horizontal="center" vertical="center"/>
      <protection locked="0"/>
    </xf>
    <xf numFmtId="0" fontId="20" fillId="0" borderId="0" xfId="0" applyFont="1" applyAlignment="1">
      <alignment horizontal="right" vertical="center"/>
    </xf>
    <xf numFmtId="43" fontId="20" fillId="0" borderId="0" xfId="1" applyFont="1" applyFill="1" applyBorder="1" applyAlignment="1">
      <alignment vertical="center"/>
    </xf>
    <xf numFmtId="186" fontId="16" fillId="0" borderId="1" xfId="0" applyNumberFormat="1" applyFont="1" applyBorder="1" applyAlignment="1" applyProtection="1">
      <alignment horizontal="center" vertical="center"/>
      <protection locked="0"/>
    </xf>
    <xf numFmtId="186" fontId="16" fillId="0" borderId="1" xfId="1" applyNumberFormat="1" applyFont="1" applyFill="1" applyBorder="1" applyAlignment="1" applyProtection="1">
      <alignment horizontal="center" vertical="center" wrapText="1"/>
    </xf>
    <xf numFmtId="0" fontId="0" fillId="0" borderId="41" xfId="0" applyBorder="1" applyAlignment="1">
      <alignment horizontal="right" vertical="center"/>
    </xf>
    <xf numFmtId="0" fontId="0" fillId="0" borderId="3" xfId="0" applyBorder="1" applyAlignment="1">
      <alignment vertical="center"/>
    </xf>
    <xf numFmtId="0" fontId="0" fillId="0" borderId="3" xfId="0" applyBorder="1" applyAlignment="1" applyProtection="1">
      <alignment horizontal="left" vertical="center" wrapText="1"/>
      <protection locked="0"/>
    </xf>
    <xf numFmtId="0" fontId="0" fillId="0" borderId="42" xfId="0" applyBorder="1" applyAlignment="1">
      <alignment horizontal="center" vertical="center" wrapText="1"/>
    </xf>
    <xf numFmtId="0" fontId="0" fillId="0" borderId="42" xfId="0" applyBorder="1" applyAlignment="1">
      <alignment horizontal="right" vertical="center" wrapText="1"/>
    </xf>
    <xf numFmtId="170" fontId="16" fillId="0" borderId="1" xfId="0" applyNumberFormat="1" applyFont="1" applyBorder="1" applyAlignment="1">
      <alignment horizontal="center" vertical="center" wrapText="1"/>
    </xf>
    <xf numFmtId="9" fontId="16" fillId="0" borderId="0" xfId="2" applyFont="1" applyFill="1" applyBorder="1" applyAlignment="1">
      <alignment horizontal="center" vertical="center"/>
    </xf>
    <xf numFmtId="3" fontId="16" fillId="0" borderId="1" xfId="0" applyNumberFormat="1" applyFont="1" applyBorder="1" applyAlignment="1">
      <alignment horizontal="center" vertical="center"/>
    </xf>
    <xf numFmtId="3" fontId="16" fillId="0" borderId="1" xfId="1" applyNumberFormat="1" applyFont="1" applyFill="1" applyBorder="1" applyAlignment="1">
      <alignment horizontal="center" vertical="center" wrapText="1"/>
    </xf>
    <xf numFmtId="2" fontId="16" fillId="0" borderId="1" xfId="2" applyNumberFormat="1" applyFont="1" applyFill="1" applyBorder="1" applyAlignment="1">
      <alignment horizontal="center" vertical="center" wrapText="1"/>
    </xf>
    <xf numFmtId="170" fontId="16" fillId="0" borderId="0" xfId="0" applyNumberFormat="1" applyFont="1" applyAlignment="1">
      <alignment horizontal="center" vertical="center" wrapText="1"/>
    </xf>
    <xf numFmtId="0" fontId="20" fillId="0" borderId="0" xfId="0" applyFont="1" applyAlignment="1">
      <alignment horizontal="center" vertical="center"/>
    </xf>
    <xf numFmtId="0" fontId="17" fillId="0" borderId="0" xfId="0" applyFont="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3" fontId="5" fillId="0" borderId="0" xfId="0" applyNumberFormat="1" applyFont="1" applyAlignment="1">
      <alignment horizontal="center" vertical="center"/>
    </xf>
    <xf numFmtId="0" fontId="0" fillId="0" borderId="1" xfId="0" applyBorder="1" applyAlignment="1">
      <alignment horizontal="left" vertical="center"/>
    </xf>
    <xf numFmtId="3" fontId="0" fillId="0" borderId="1" xfId="1" applyNumberFormat="1" applyFont="1" applyFill="1" applyBorder="1" applyAlignment="1">
      <alignment horizontal="left" vertical="center"/>
    </xf>
    <xf numFmtId="0" fontId="0" fillId="0" borderId="1" xfId="0" applyBorder="1" applyAlignment="1" applyProtection="1">
      <alignment horizontal="left" vertical="center" wrapText="1"/>
      <protection locked="0"/>
    </xf>
    <xf numFmtId="171" fontId="16" fillId="0" borderId="1" xfId="0" applyNumberFormat="1" applyFont="1" applyBorder="1" applyAlignment="1">
      <alignment horizontal="center" vertical="center"/>
    </xf>
    <xf numFmtId="0" fontId="57" fillId="0" borderId="0" xfId="45816" applyFont="1" applyFill="1" applyBorder="1" applyAlignment="1" applyProtection="1">
      <alignment vertical="center" wrapText="1"/>
      <protection locked="0"/>
    </xf>
    <xf numFmtId="0" fontId="57" fillId="0" borderId="0" xfId="0" applyFont="1" applyAlignment="1" applyProtection="1">
      <alignment horizontal="center" vertical="center" wrapText="1"/>
      <protection locked="0"/>
    </xf>
    <xf numFmtId="0" fontId="17" fillId="0" borderId="0" xfId="0" applyFont="1" applyAlignment="1" applyProtection="1">
      <alignment horizontal="centerContinuous" vertical="center" wrapText="1"/>
      <protection locked="0"/>
    </xf>
    <xf numFmtId="170" fontId="57" fillId="0" borderId="0" xfId="0" applyNumberFormat="1" applyFont="1" applyAlignment="1">
      <alignment horizontal="center" vertical="center" wrapText="1"/>
    </xf>
    <xf numFmtId="0" fontId="61" fillId="0" borderId="0" xfId="44178" applyFont="1" applyAlignment="1">
      <alignment vertical="center"/>
    </xf>
    <xf numFmtId="0" fontId="62" fillId="0" borderId="0" xfId="44178" applyFont="1" applyAlignment="1">
      <alignment vertical="center"/>
    </xf>
    <xf numFmtId="9" fontId="16" fillId="0" borderId="1" xfId="2" applyFont="1" applyFill="1" applyBorder="1" applyAlignment="1">
      <alignment horizontal="center" vertical="center"/>
    </xf>
    <xf numFmtId="0" fontId="17" fillId="0" borderId="0" xfId="0" applyFont="1" applyAlignment="1" applyProtection="1">
      <alignment vertical="center" wrapText="1"/>
      <protection locked="0"/>
    </xf>
    <xf numFmtId="0" fontId="57" fillId="0" borderId="0" xfId="0" applyFont="1" applyAlignment="1">
      <alignment vertical="center"/>
    </xf>
    <xf numFmtId="188" fontId="0" fillId="0" borderId="0" xfId="0" applyNumberFormat="1" applyAlignment="1">
      <alignment horizontal="center" vertical="center"/>
    </xf>
    <xf numFmtId="0" fontId="63" fillId="0" borderId="0" xfId="44178" applyFont="1" applyAlignment="1">
      <alignment vertical="center"/>
    </xf>
    <xf numFmtId="0" fontId="63" fillId="0" borderId="0" xfId="44178" applyFont="1" applyAlignment="1">
      <alignment horizontal="centerContinuous" vertical="center"/>
    </xf>
    <xf numFmtId="0" fontId="63" fillId="29" borderId="0" xfId="44178" applyFont="1" applyFill="1" applyAlignment="1">
      <alignment vertical="center"/>
    </xf>
    <xf numFmtId="0" fontId="63" fillId="29" borderId="0" xfId="44178" applyFont="1" applyFill="1" applyAlignment="1">
      <alignment horizontal="centerContinuous" vertical="center"/>
    </xf>
    <xf numFmtId="0" fontId="59" fillId="0" borderId="0" xfId="0" applyFont="1" applyAlignment="1" applyProtection="1">
      <alignment horizontal="center" vertical="center" wrapText="1"/>
      <protection locked="0"/>
    </xf>
    <xf numFmtId="11" fontId="0" fillId="0" borderId="0" xfId="0" applyNumberFormat="1" applyAlignment="1">
      <alignment horizontal="center" vertical="center"/>
    </xf>
    <xf numFmtId="185" fontId="60" fillId="0" borderId="0" xfId="59388" applyNumberFormat="1" applyFont="1" applyFill="1" applyBorder="1" applyAlignment="1">
      <alignment horizontal="center" vertical="center"/>
    </xf>
    <xf numFmtId="9" fontId="0" fillId="0" borderId="1" xfId="2" applyFont="1" applyBorder="1" applyAlignment="1">
      <alignment horizontal="center" vertical="center"/>
    </xf>
    <xf numFmtId="183" fontId="16" fillId="0" borderId="0" xfId="0" applyNumberFormat="1" applyFont="1" applyAlignment="1" applyProtection="1">
      <alignment horizontal="center" vertical="center"/>
      <protection locked="0"/>
    </xf>
    <xf numFmtId="0" fontId="16" fillId="0" borderId="1" xfId="0" applyFont="1" applyBorder="1" applyAlignment="1" applyProtection="1">
      <alignment horizontal="left" vertical="center" wrapText="1"/>
      <protection locked="0"/>
    </xf>
    <xf numFmtId="9" fontId="16" fillId="29" borderId="1" xfId="2" applyFont="1" applyFill="1" applyBorder="1" applyAlignment="1">
      <alignment horizontal="center" vertical="center"/>
    </xf>
    <xf numFmtId="2" fontId="0" fillId="0" borderId="1" xfId="0" applyNumberFormat="1" applyBorder="1" applyAlignment="1">
      <alignment horizontal="center" vertical="center"/>
    </xf>
    <xf numFmtId="170" fontId="0" fillId="0" borderId="1" xfId="0" applyNumberFormat="1" applyBorder="1" applyAlignment="1">
      <alignment horizontal="center" vertical="center"/>
    </xf>
    <xf numFmtId="187" fontId="16" fillId="0" borderId="0" xfId="0" applyNumberFormat="1" applyFont="1" applyAlignment="1" applyProtection="1">
      <alignment horizontal="center" vertical="center"/>
      <protection locked="0"/>
    </xf>
    <xf numFmtId="171" fontId="16" fillId="0" borderId="0" xfId="0" applyNumberFormat="1" applyFont="1" applyAlignment="1">
      <alignment horizontal="center" vertical="center"/>
    </xf>
    <xf numFmtId="0" fontId="57" fillId="0" borderId="0" xfId="0" applyFont="1" applyAlignment="1" applyProtection="1">
      <alignment horizontal="right" vertical="center" wrapText="1"/>
      <protection locked="0"/>
    </xf>
    <xf numFmtId="9" fontId="16" fillId="0" borderId="38" xfId="2" applyFont="1" applyFill="1" applyBorder="1" applyAlignment="1">
      <alignment horizontal="center" vertical="center"/>
    </xf>
    <xf numFmtId="2" fontId="16" fillId="0" borderId="38" xfId="2" applyNumberFormat="1" applyFont="1" applyFill="1" applyBorder="1" applyAlignment="1">
      <alignment horizontal="center" vertical="center" wrapText="1"/>
    </xf>
    <xf numFmtId="171" fontId="16" fillId="0" borderId="37" xfId="0" applyNumberFormat="1" applyFont="1" applyBorder="1" applyAlignment="1">
      <alignment horizontal="center" vertical="center"/>
    </xf>
    <xf numFmtId="0" fontId="0" fillId="0" borderId="37" xfId="0" applyBorder="1" applyAlignment="1">
      <alignment vertical="center"/>
    </xf>
    <xf numFmtId="2" fontId="16" fillId="0" borderId="40" xfId="2" applyNumberFormat="1" applyFont="1" applyFill="1" applyBorder="1" applyAlignment="1">
      <alignment horizontal="center" vertical="center" wrapText="1"/>
    </xf>
    <xf numFmtId="0" fontId="22" fillId="0" borderId="0" xfId="0" applyFont="1" applyAlignment="1" applyProtection="1">
      <alignment vertical="center" wrapText="1"/>
      <protection locked="0"/>
    </xf>
    <xf numFmtId="175" fontId="0" fillId="0" borderId="0" xfId="0" applyNumberFormat="1" applyAlignment="1">
      <alignment vertical="center"/>
    </xf>
    <xf numFmtId="0" fontId="16" fillId="0" borderId="1" xfId="0" applyFont="1" applyBorder="1" applyAlignment="1">
      <alignment horizontal="center" vertical="center" wrapText="1"/>
    </xf>
    <xf numFmtId="0" fontId="3" fillId="0" borderId="34" xfId="0" applyFont="1" applyBorder="1" applyAlignment="1" applyProtection="1">
      <alignment horizontal="center" vertical="center"/>
      <protection locked="0"/>
    </xf>
    <xf numFmtId="0" fontId="8" fillId="27" borderId="38" xfId="0" applyFont="1" applyFill="1" applyBorder="1" applyAlignment="1" applyProtection="1">
      <alignment horizontal="center" vertical="center"/>
      <protection locked="0"/>
    </xf>
    <xf numFmtId="0" fontId="0" fillId="0" borderId="1" xfId="0" applyBorder="1" applyAlignment="1">
      <alignment horizontal="center" vertical="center"/>
    </xf>
    <xf numFmtId="0" fontId="8" fillId="27" borderId="0" xfId="0" applyFont="1" applyFill="1" applyAlignment="1" applyProtection="1">
      <alignment horizontal="center" vertical="center"/>
      <protection locked="0"/>
    </xf>
    <xf numFmtId="0" fontId="68" fillId="30" borderId="1" xfId="0" applyFont="1" applyFill="1" applyBorder="1" applyAlignment="1">
      <alignment horizontal="center" vertical="center"/>
    </xf>
    <xf numFmtId="0" fontId="70" fillId="31" borderId="1" xfId="0" applyFont="1" applyFill="1" applyBorder="1" applyAlignment="1">
      <alignment horizontal="center" vertical="center"/>
    </xf>
    <xf numFmtId="0" fontId="71" fillId="32" borderId="1" xfId="0" applyFont="1" applyFill="1" applyBorder="1" applyAlignment="1">
      <alignment horizontal="center" vertical="center"/>
    </xf>
    <xf numFmtId="0" fontId="70" fillId="33" borderId="1" xfId="0" applyFont="1" applyFill="1" applyBorder="1" applyAlignment="1">
      <alignment horizontal="center" vertical="center"/>
    </xf>
    <xf numFmtId="0" fontId="78" fillId="30" borderId="1" xfId="0" applyFont="1" applyFill="1" applyBorder="1" applyAlignment="1">
      <alignment horizontal="right" vertical="center"/>
    </xf>
    <xf numFmtId="183" fontId="70" fillId="34" borderId="1" xfId="0" applyNumberFormat="1" applyFont="1" applyFill="1" applyBorder="1" applyAlignment="1" applyProtection="1">
      <alignment horizontal="center" vertical="center"/>
      <protection locked="0"/>
    </xf>
    <xf numFmtId="0" fontId="78" fillId="30" borderId="1" xfId="0" applyFont="1" applyFill="1" applyBorder="1" applyAlignment="1">
      <alignment horizontal="center" vertical="center"/>
    </xf>
    <xf numFmtId="184" fontId="70" fillId="34" borderId="1" xfId="0" applyNumberFormat="1" applyFont="1" applyFill="1" applyBorder="1" applyAlignment="1" applyProtection="1">
      <alignment horizontal="center" vertical="center"/>
      <protection locked="0"/>
    </xf>
    <xf numFmtId="190" fontId="70" fillId="34" borderId="1" xfId="0" applyNumberFormat="1" applyFont="1" applyFill="1" applyBorder="1" applyAlignment="1" applyProtection="1">
      <alignment horizontal="center" vertical="center"/>
      <protection locked="0"/>
    </xf>
    <xf numFmtId="0" fontId="78" fillId="30" borderId="1" xfId="0" applyFont="1" applyFill="1" applyBorder="1" applyAlignment="1">
      <alignment horizontal="center" vertical="center" wrapText="1"/>
    </xf>
    <xf numFmtId="0" fontId="78" fillId="30" borderId="1" xfId="0" quotePrefix="1" applyFont="1" applyFill="1" applyBorder="1" applyAlignment="1">
      <alignment horizontal="center" vertical="center" wrapText="1"/>
    </xf>
    <xf numFmtId="0" fontId="71" fillId="30" borderId="1" xfId="0" applyFont="1" applyFill="1" applyBorder="1" applyAlignment="1" applyProtection="1">
      <alignment horizontal="center" vertical="center" wrapText="1"/>
      <protection locked="0"/>
    </xf>
    <xf numFmtId="0" fontId="71" fillId="30" borderId="1" xfId="0" applyFont="1" applyFill="1" applyBorder="1" applyAlignment="1" applyProtection="1">
      <alignment horizontal="right" vertical="center" wrapText="1"/>
      <protection locked="0"/>
    </xf>
    <xf numFmtId="189" fontId="70" fillId="34" borderId="1" xfId="0" applyNumberFormat="1" applyFont="1" applyFill="1" applyBorder="1" applyAlignment="1" applyProtection="1">
      <alignment horizontal="center" vertical="center"/>
      <protection locked="0"/>
    </xf>
    <xf numFmtId="0" fontId="71" fillId="30" borderId="3" xfId="0" applyFont="1" applyFill="1" applyBorder="1" applyAlignment="1" applyProtection="1">
      <alignment horizontal="right" vertical="center" wrapText="1"/>
      <protection locked="0"/>
    </xf>
    <xf numFmtId="184" fontId="70" fillId="34" borderId="42" xfId="0" applyNumberFormat="1" applyFont="1" applyFill="1" applyBorder="1" applyAlignment="1" applyProtection="1">
      <alignment horizontal="center" vertical="center"/>
      <protection locked="0"/>
    </xf>
    <xf numFmtId="189" fontId="70" fillId="34" borderId="42" xfId="0" applyNumberFormat="1" applyFont="1" applyFill="1" applyBorder="1" applyAlignment="1" applyProtection="1">
      <alignment horizontal="center" vertical="center"/>
      <protection locked="0"/>
    </xf>
    <xf numFmtId="0" fontId="81" fillId="30" borderId="1" xfId="0" applyFont="1" applyFill="1" applyBorder="1" applyAlignment="1" applyProtection="1">
      <alignment horizontal="right" vertical="center" wrapText="1"/>
      <protection locked="0"/>
    </xf>
    <xf numFmtId="184" fontId="70" fillId="34" borderId="5" xfId="0" applyNumberFormat="1" applyFont="1" applyFill="1" applyBorder="1" applyAlignment="1" applyProtection="1">
      <alignment horizontal="center" vertical="center"/>
      <protection locked="0"/>
    </xf>
    <xf numFmtId="189" fontId="70" fillId="34" borderId="5" xfId="0" applyNumberFormat="1" applyFont="1" applyFill="1" applyBorder="1" applyAlignment="1" applyProtection="1">
      <alignment horizontal="center" vertical="center"/>
      <protection locked="0"/>
    </xf>
    <xf numFmtId="43" fontId="78" fillId="30" borderId="1" xfId="1" applyFont="1" applyFill="1" applyBorder="1" applyAlignment="1">
      <alignment horizontal="center" vertical="center"/>
    </xf>
    <xf numFmtId="0" fontId="78" fillId="30" borderId="4" xfId="0" applyFont="1" applyFill="1" applyBorder="1" applyAlignment="1">
      <alignment horizontal="center" vertical="center"/>
    </xf>
    <xf numFmtId="3" fontId="71" fillId="32" borderId="1" xfId="1" applyNumberFormat="1" applyFont="1" applyFill="1" applyBorder="1" applyAlignment="1">
      <alignment horizontal="center" vertical="center"/>
    </xf>
    <xf numFmtId="186" fontId="70" fillId="34" borderId="1" xfId="0" applyNumberFormat="1" applyFont="1" applyFill="1" applyBorder="1" applyAlignment="1" applyProtection="1">
      <alignment horizontal="center" vertical="center"/>
      <protection locked="0"/>
    </xf>
    <xf numFmtId="184" fontId="70" fillId="34" borderId="3" xfId="0" applyNumberFormat="1" applyFont="1" applyFill="1" applyBorder="1" applyAlignment="1" applyProtection="1">
      <alignment horizontal="center" vertical="center"/>
      <protection locked="0"/>
    </xf>
    <xf numFmtId="186" fontId="70" fillId="34" borderId="3" xfId="0" applyNumberFormat="1" applyFont="1" applyFill="1" applyBorder="1" applyAlignment="1" applyProtection="1">
      <alignment horizontal="center" vertical="center"/>
      <protection locked="0"/>
    </xf>
    <xf numFmtId="168" fontId="71" fillId="32" borderId="1" xfId="1" applyNumberFormat="1" applyFont="1" applyFill="1" applyBorder="1" applyAlignment="1">
      <alignment horizontal="center" vertical="center"/>
    </xf>
    <xf numFmtId="39" fontId="71" fillId="32" borderId="1" xfId="1" applyNumberFormat="1" applyFont="1" applyFill="1" applyBorder="1" applyAlignment="1">
      <alignment horizontal="center" vertical="center"/>
    </xf>
    <xf numFmtId="37" fontId="71" fillId="32" borderId="1" xfId="1" applyNumberFormat="1" applyFont="1" applyFill="1" applyBorder="1" applyAlignment="1">
      <alignment horizontal="center" vertical="center"/>
    </xf>
    <xf numFmtId="39" fontId="71" fillId="32" borderId="42" xfId="1" applyNumberFormat="1" applyFont="1" applyFill="1" applyBorder="1" applyAlignment="1">
      <alignment horizontal="center" vertical="center"/>
    </xf>
    <xf numFmtId="186" fontId="70" fillId="34" borderId="42" xfId="0" applyNumberFormat="1" applyFont="1" applyFill="1" applyBorder="1" applyAlignment="1" applyProtection="1">
      <alignment horizontal="center" vertical="center"/>
      <protection locked="0"/>
    </xf>
    <xf numFmtId="186" fontId="70" fillId="34" borderId="5" xfId="0" applyNumberFormat="1" applyFont="1" applyFill="1" applyBorder="1" applyAlignment="1" applyProtection="1">
      <alignment horizontal="center" vertical="center"/>
      <protection locked="0"/>
    </xf>
    <xf numFmtId="186" fontId="82" fillId="31" borderId="42" xfId="0" applyNumberFormat="1" applyFont="1" applyFill="1" applyBorder="1" applyAlignment="1" applyProtection="1">
      <alignment horizontal="center" vertical="center"/>
      <protection locked="0"/>
    </xf>
    <xf numFmtId="186" fontId="83" fillId="33" borderId="1" xfId="1" applyNumberFormat="1" applyFont="1" applyFill="1" applyBorder="1" applyAlignment="1" applyProtection="1">
      <alignment horizontal="center" vertical="center" wrapText="1"/>
    </xf>
    <xf numFmtId="0" fontId="75" fillId="30" borderId="1" xfId="0" applyFont="1" applyFill="1" applyBorder="1" applyAlignment="1" applyProtection="1">
      <alignment horizontal="right" vertical="center"/>
      <protection locked="0"/>
    </xf>
    <xf numFmtId="0" fontId="82" fillId="31" borderId="1" xfId="0" applyFont="1" applyFill="1" applyBorder="1" applyAlignment="1" applyProtection="1">
      <alignment horizontal="center" vertical="center"/>
      <protection locked="0"/>
    </xf>
    <xf numFmtId="0" fontId="75" fillId="30" borderId="3" xfId="0" applyFont="1" applyFill="1" applyBorder="1" applyAlignment="1" applyProtection="1">
      <alignment vertical="center" wrapText="1"/>
      <protection locked="0"/>
    </xf>
    <xf numFmtId="0" fontId="74" fillId="30" borderId="2" xfId="0" applyFont="1" applyFill="1" applyBorder="1" applyAlignment="1" applyProtection="1">
      <alignment horizontal="center" vertical="center" wrapText="1"/>
      <protection locked="0"/>
    </xf>
    <xf numFmtId="0" fontId="74" fillId="30" borderId="3" xfId="0" applyFont="1" applyFill="1" applyBorder="1" applyAlignment="1" applyProtection="1">
      <alignment horizontal="center" vertical="center" wrapText="1"/>
      <protection locked="0"/>
    </xf>
    <xf numFmtId="0" fontId="75" fillId="30" borderId="5" xfId="0" applyFont="1" applyFill="1" applyBorder="1" applyAlignment="1" applyProtection="1">
      <alignment horizontal="center" vertical="center" wrapText="1"/>
      <protection locked="0"/>
    </xf>
    <xf numFmtId="0" fontId="75" fillId="30" borderId="1" xfId="0" applyFont="1" applyFill="1" applyBorder="1" applyAlignment="1" applyProtection="1">
      <alignment horizontal="right" vertical="center" wrapText="1"/>
      <protection locked="0"/>
    </xf>
    <xf numFmtId="0" fontId="75" fillId="30" borderId="1" xfId="0" applyFont="1" applyFill="1" applyBorder="1" applyAlignment="1" applyProtection="1">
      <alignment horizontal="center" vertical="center" wrapText="1"/>
      <protection locked="0"/>
    </xf>
    <xf numFmtId="181" fontId="82" fillId="31" borderId="1" xfId="0" applyNumberFormat="1" applyFont="1" applyFill="1" applyBorder="1" applyAlignment="1" applyProtection="1">
      <alignment horizontal="center" vertical="center"/>
      <protection locked="0"/>
    </xf>
    <xf numFmtId="0" fontId="82" fillId="31" borderId="3" xfId="0" applyFont="1" applyFill="1" applyBorder="1" applyAlignment="1" applyProtection="1">
      <alignment vertical="center"/>
      <protection locked="0"/>
    </xf>
    <xf numFmtId="0" fontId="82" fillId="31" borderId="5" xfId="0" applyFont="1" applyFill="1" applyBorder="1" applyAlignment="1" applyProtection="1">
      <alignment vertical="center"/>
      <protection locked="0"/>
    </xf>
    <xf numFmtId="0" fontId="82" fillId="34" borderId="1" xfId="0" applyFont="1" applyFill="1" applyBorder="1" applyAlignment="1" applyProtection="1">
      <alignment horizontal="center" vertical="center"/>
      <protection locked="0"/>
    </xf>
    <xf numFmtId="3" fontId="70" fillId="31" borderId="1" xfId="0" applyNumberFormat="1" applyFont="1" applyFill="1" applyBorder="1" applyAlignment="1" applyProtection="1">
      <alignment horizontal="center"/>
      <protection locked="0"/>
    </xf>
    <xf numFmtId="9" fontId="70" fillId="31" borderId="1" xfId="2" applyFont="1" applyFill="1" applyBorder="1" applyAlignment="1" applyProtection="1">
      <alignment horizontal="center"/>
      <protection locked="0"/>
    </xf>
    <xf numFmtId="171" fontId="70" fillId="31" borderId="1" xfId="2" applyNumberFormat="1" applyFont="1" applyFill="1" applyBorder="1" applyAlignment="1" applyProtection="1">
      <alignment horizontal="center"/>
      <protection locked="0"/>
    </xf>
    <xf numFmtId="171" fontId="70" fillId="31" borderId="1" xfId="0" applyNumberFormat="1" applyFont="1" applyFill="1" applyBorder="1" applyAlignment="1" applyProtection="1">
      <alignment horizontal="center"/>
      <protection locked="0"/>
    </xf>
    <xf numFmtId="3" fontId="82" fillId="31" borderId="1" xfId="1" applyNumberFormat="1" applyFont="1" applyFill="1" applyBorder="1" applyAlignment="1" applyProtection="1">
      <alignment horizontal="center" vertical="center"/>
      <protection locked="0"/>
    </xf>
    <xf numFmtId="9" fontId="82" fillId="34" borderId="1" xfId="2" applyFont="1" applyFill="1" applyBorder="1" applyAlignment="1" applyProtection="1">
      <alignment horizontal="center" vertical="center" wrapText="1"/>
      <protection locked="0"/>
    </xf>
    <xf numFmtId="0" fontId="74" fillId="30" borderId="1" xfId="0" applyFont="1" applyFill="1" applyBorder="1" applyAlignment="1" applyProtection="1">
      <alignment horizontal="right" vertical="center" wrapText="1"/>
      <protection locked="0"/>
    </xf>
    <xf numFmtId="0" fontId="71" fillId="30" borderId="5" xfId="0" applyFont="1" applyFill="1" applyBorder="1" applyAlignment="1" applyProtection="1">
      <alignment horizontal="center" vertical="center" wrapText="1"/>
      <protection locked="0"/>
    </xf>
    <xf numFmtId="9" fontId="70" fillId="34" borderId="1" xfId="2" applyFont="1" applyFill="1" applyBorder="1" applyAlignment="1">
      <alignment horizontal="center" vertical="center" wrapText="1"/>
    </xf>
    <xf numFmtId="2" fontId="70" fillId="34" borderId="1" xfId="2" applyNumberFormat="1" applyFont="1" applyFill="1" applyBorder="1" applyAlignment="1">
      <alignment horizontal="center" vertical="center" wrapText="1"/>
    </xf>
    <xf numFmtId="0" fontId="71" fillId="30" borderId="1" xfId="0" quotePrefix="1" applyFont="1" applyFill="1" applyBorder="1" applyAlignment="1" applyProtection="1">
      <alignment horizontal="center" vertical="center" wrapText="1"/>
      <protection locked="0"/>
    </xf>
    <xf numFmtId="0" fontId="71" fillId="30" borderId="3" xfId="0" applyFont="1" applyFill="1" applyBorder="1" applyAlignment="1" applyProtection="1">
      <alignment horizontal="center" vertical="center" wrapText="1"/>
      <protection locked="0"/>
    </xf>
    <xf numFmtId="170" fontId="70" fillId="34" borderId="1" xfId="0" applyNumberFormat="1" applyFont="1" applyFill="1" applyBorder="1" applyAlignment="1">
      <alignment horizontal="center" vertical="center" wrapText="1"/>
    </xf>
    <xf numFmtId="2" fontId="70" fillId="34" borderId="1" xfId="0" applyNumberFormat="1" applyFont="1" applyFill="1" applyBorder="1" applyAlignment="1">
      <alignment horizontal="center" vertical="center" wrapText="1"/>
    </xf>
    <xf numFmtId="9" fontId="70" fillId="34" borderId="1" xfId="2" applyFont="1" applyFill="1" applyBorder="1" applyAlignment="1">
      <alignment horizontal="center" vertical="center"/>
    </xf>
    <xf numFmtId="2" fontId="70" fillId="34" borderId="1" xfId="0" applyNumberFormat="1" applyFont="1" applyFill="1" applyBorder="1" applyAlignment="1">
      <alignment horizontal="center" vertical="center"/>
    </xf>
    <xf numFmtId="0" fontId="70" fillId="34" borderId="1" xfId="0" applyFont="1" applyFill="1" applyBorder="1" applyAlignment="1">
      <alignment horizontal="center" vertical="center"/>
    </xf>
    <xf numFmtId="0" fontId="70" fillId="34" borderId="41" xfId="0" applyFont="1" applyFill="1" applyBorder="1" applyAlignment="1">
      <alignment horizontal="center" vertical="center"/>
    </xf>
    <xf numFmtId="11" fontId="70" fillId="34" borderId="41" xfId="0" applyNumberFormat="1" applyFont="1" applyFill="1" applyBorder="1" applyAlignment="1">
      <alignment horizontal="center" vertical="center"/>
    </xf>
    <xf numFmtId="2" fontId="70" fillId="34" borderId="3" xfId="0" applyNumberFormat="1" applyFont="1" applyFill="1" applyBorder="1" applyAlignment="1">
      <alignment horizontal="center" vertical="center"/>
    </xf>
    <xf numFmtId="11" fontId="70" fillId="34" borderId="3" xfId="0" applyNumberFormat="1" applyFont="1" applyFill="1" applyBorder="1" applyAlignment="1">
      <alignment horizontal="center" vertical="center"/>
    </xf>
    <xf numFmtId="2" fontId="70" fillId="34" borderId="41" xfId="0" applyNumberFormat="1" applyFont="1" applyFill="1" applyBorder="1" applyAlignment="1">
      <alignment horizontal="center" vertical="center"/>
    </xf>
    <xf numFmtId="0" fontId="70" fillId="34" borderId="5" xfId="0" applyFont="1" applyFill="1" applyBorder="1" applyAlignment="1">
      <alignment horizontal="center" vertical="center"/>
    </xf>
    <xf numFmtId="11" fontId="70" fillId="34" borderId="5" xfId="0" applyNumberFormat="1" applyFont="1" applyFill="1" applyBorder="1" applyAlignment="1">
      <alignment horizontal="center" vertical="center"/>
    </xf>
    <xf numFmtId="2" fontId="70" fillId="34" borderId="5" xfId="0" applyNumberFormat="1" applyFont="1" applyFill="1" applyBorder="1" applyAlignment="1">
      <alignment horizontal="center" vertical="center"/>
    </xf>
    <xf numFmtId="170" fontId="85" fillId="34" borderId="1" xfId="0" applyNumberFormat="1" applyFont="1" applyFill="1" applyBorder="1" applyAlignment="1">
      <alignment horizontal="center" vertical="center"/>
    </xf>
    <xf numFmtId="170" fontId="85" fillId="34" borderId="1" xfId="2" applyNumberFormat="1" applyFont="1" applyFill="1" applyBorder="1" applyAlignment="1">
      <alignment horizontal="center" vertical="center"/>
    </xf>
    <xf numFmtId="0" fontId="70" fillId="34" borderId="3" xfId="0" applyFont="1" applyFill="1" applyBorder="1" applyAlignment="1">
      <alignment horizontal="center" vertical="center"/>
    </xf>
    <xf numFmtId="170" fontId="85" fillId="34" borderId="5" xfId="0" applyNumberFormat="1" applyFont="1" applyFill="1" applyBorder="1" applyAlignment="1">
      <alignment horizontal="center" vertical="center"/>
    </xf>
    <xf numFmtId="170" fontId="85" fillId="34" borderId="5" xfId="2" applyNumberFormat="1" applyFont="1" applyFill="1" applyBorder="1" applyAlignment="1">
      <alignment horizontal="center" vertical="center"/>
    </xf>
    <xf numFmtId="0" fontId="78" fillId="30" borderId="1" xfId="0" applyFont="1" applyFill="1" applyBorder="1" applyAlignment="1">
      <alignment horizontal="left" vertical="center"/>
    </xf>
    <xf numFmtId="0" fontId="71" fillId="30" borderId="1" xfId="0" applyFont="1" applyFill="1" applyBorder="1" applyAlignment="1">
      <alignment horizontal="center"/>
    </xf>
    <xf numFmtId="2" fontId="71" fillId="32" borderId="1" xfId="0" applyNumberFormat="1" applyFont="1" applyFill="1" applyBorder="1" applyAlignment="1">
      <alignment horizontal="center" vertical="center"/>
    </xf>
    <xf numFmtId="3" fontId="86" fillId="32" borderId="1" xfId="0" applyNumberFormat="1" applyFont="1" applyFill="1" applyBorder="1" applyAlignment="1">
      <alignment horizontal="center"/>
    </xf>
    <xf numFmtId="11" fontId="86" fillId="32" borderId="1" xfId="0" applyNumberFormat="1" applyFont="1" applyFill="1" applyBorder="1" applyAlignment="1">
      <alignment horizontal="center"/>
    </xf>
    <xf numFmtId="165" fontId="71" fillId="32" borderId="1" xfId="0" applyNumberFormat="1" applyFont="1" applyFill="1" applyBorder="1" applyAlignment="1">
      <alignment horizontal="center" vertical="center"/>
    </xf>
    <xf numFmtId="165" fontId="86" fillId="32" borderId="1" xfId="0" applyNumberFormat="1" applyFont="1" applyFill="1" applyBorder="1" applyAlignment="1">
      <alignment horizontal="center"/>
    </xf>
    <xf numFmtId="167" fontId="86" fillId="32" borderId="1" xfId="0" applyNumberFormat="1" applyFont="1" applyFill="1" applyBorder="1" applyAlignment="1">
      <alignment horizontal="center"/>
    </xf>
    <xf numFmtId="170" fontId="71" fillId="32" borderId="1" xfId="0" applyNumberFormat="1" applyFont="1" applyFill="1" applyBorder="1" applyAlignment="1">
      <alignment horizontal="center" vertical="center"/>
    </xf>
    <xf numFmtId="191" fontId="86" fillId="32" borderId="1" xfId="0" applyNumberFormat="1" applyFont="1" applyFill="1" applyBorder="1" applyAlignment="1">
      <alignment horizontal="center"/>
    </xf>
    <xf numFmtId="175" fontId="86" fillId="32" borderId="1" xfId="0" applyNumberFormat="1" applyFont="1" applyFill="1" applyBorder="1" applyAlignment="1">
      <alignment horizontal="center"/>
    </xf>
    <xf numFmtId="169" fontId="86" fillId="32" borderId="1" xfId="0" applyNumberFormat="1" applyFont="1" applyFill="1" applyBorder="1" applyAlignment="1">
      <alignment horizontal="center"/>
    </xf>
    <xf numFmtId="174" fontId="71" fillId="32" borderId="1" xfId="0" applyNumberFormat="1" applyFont="1" applyFill="1" applyBorder="1" applyAlignment="1">
      <alignment horizontal="center" vertical="center"/>
    </xf>
    <xf numFmtId="164" fontId="71" fillId="32" borderId="1" xfId="1" applyNumberFormat="1" applyFont="1" applyFill="1" applyBorder="1" applyAlignment="1">
      <alignment horizontal="center" vertical="center"/>
    </xf>
    <xf numFmtId="192" fontId="86" fillId="32" borderId="1" xfId="0" applyNumberFormat="1" applyFont="1" applyFill="1" applyBorder="1" applyAlignment="1">
      <alignment horizontal="center"/>
    </xf>
    <xf numFmtId="37" fontId="71" fillId="32" borderId="1" xfId="48" applyNumberFormat="1" applyFont="1" applyFill="1" applyBorder="1" applyAlignment="1">
      <alignment horizontal="center" vertical="center"/>
    </xf>
    <xf numFmtId="10" fontId="71" fillId="32" borderId="1" xfId="2" applyNumberFormat="1" applyFont="1" applyFill="1" applyBorder="1" applyAlignment="1">
      <alignment horizontal="center" vertical="center"/>
    </xf>
    <xf numFmtId="0" fontId="86" fillId="32" borderId="1" xfId="0" applyFont="1" applyFill="1" applyBorder="1" applyAlignment="1">
      <alignment horizontal="center"/>
    </xf>
    <xf numFmtId="177" fontId="86" fillId="32" borderId="1" xfId="0" applyNumberFormat="1" applyFont="1" applyFill="1" applyBorder="1" applyAlignment="1">
      <alignment horizontal="center"/>
    </xf>
    <xf numFmtId="170" fontId="86" fillId="32" borderId="1" xfId="0" applyNumberFormat="1" applyFont="1" applyFill="1" applyBorder="1" applyAlignment="1">
      <alignment horizontal="center"/>
    </xf>
    <xf numFmtId="176" fontId="86" fillId="32" borderId="1" xfId="0" applyNumberFormat="1" applyFont="1" applyFill="1" applyBorder="1" applyAlignment="1">
      <alignment horizontal="center"/>
    </xf>
    <xf numFmtId="177" fontId="71" fillId="32" borderId="1" xfId="2" applyNumberFormat="1" applyFont="1" applyFill="1" applyBorder="1" applyAlignment="1">
      <alignment horizontal="center" vertical="center"/>
    </xf>
    <xf numFmtId="182" fontId="71" fillId="32" borderId="1" xfId="1" applyNumberFormat="1" applyFont="1" applyFill="1" applyBorder="1" applyAlignment="1">
      <alignment horizontal="center" vertical="center"/>
    </xf>
    <xf numFmtId="11" fontId="71" fillId="32" borderId="1" xfId="2" applyNumberFormat="1" applyFont="1" applyFill="1" applyBorder="1" applyAlignment="1">
      <alignment horizontal="center" vertical="center"/>
    </xf>
    <xf numFmtId="0" fontId="71" fillId="30" borderId="1" xfId="0" applyFont="1" applyFill="1" applyBorder="1" applyAlignment="1">
      <alignment horizontal="right" vertical="center" wrapText="1"/>
    </xf>
    <xf numFmtId="0" fontId="88" fillId="30" borderId="0" xfId="0" applyFont="1" applyFill="1" applyAlignment="1">
      <alignment horizontal="left" vertical="center"/>
    </xf>
    <xf numFmtId="0" fontId="88" fillId="30" borderId="37" xfId="0" applyFont="1" applyFill="1" applyBorder="1" applyAlignment="1">
      <alignment wrapText="1"/>
    </xf>
    <xf numFmtId="0" fontId="86" fillId="30" borderId="1" xfId="0" applyFont="1" applyFill="1" applyBorder="1" applyAlignment="1">
      <alignment horizontal="right"/>
    </xf>
    <xf numFmtId="3" fontId="86" fillId="32" borderId="1" xfId="0" applyNumberFormat="1" applyFont="1" applyFill="1" applyBorder="1"/>
    <xf numFmtId="4" fontId="86" fillId="32" borderId="1" xfId="0" applyNumberFormat="1" applyFont="1" applyFill="1" applyBorder="1"/>
    <xf numFmtId="0" fontId="88" fillId="30" borderId="0" xfId="0" applyFont="1" applyFill="1"/>
    <xf numFmtId="0" fontId="81" fillId="30" borderId="0" xfId="0" applyFont="1" applyFill="1"/>
    <xf numFmtId="39" fontId="70" fillId="34" borderId="1" xfId="1" applyNumberFormat="1" applyFont="1" applyFill="1" applyBorder="1" applyAlignment="1">
      <alignment horizontal="center" vertical="center"/>
    </xf>
    <xf numFmtId="0" fontId="67" fillId="35" borderId="7" xfId="0" applyFont="1" applyFill="1" applyBorder="1" applyAlignment="1" applyProtection="1">
      <alignment vertical="center"/>
      <protection locked="0"/>
    </xf>
    <xf numFmtId="0" fontId="68" fillId="35" borderId="0" xfId="0" applyFont="1" applyFill="1" applyAlignment="1">
      <alignment vertical="center"/>
    </xf>
    <xf numFmtId="0" fontId="67" fillId="35" borderId="0" xfId="0" applyFont="1" applyFill="1" applyAlignment="1" applyProtection="1">
      <alignment vertical="center"/>
      <protection locked="0"/>
    </xf>
    <xf numFmtId="0" fontId="69" fillId="35" borderId="0" xfId="0" applyFont="1" applyFill="1" applyAlignment="1" applyProtection="1">
      <alignment vertical="center"/>
      <protection locked="0"/>
    </xf>
    <xf numFmtId="0" fontId="3" fillId="35" borderId="0" xfId="0" applyFont="1" applyFill="1" applyAlignment="1" applyProtection="1">
      <alignment vertical="center"/>
      <protection locked="0"/>
    </xf>
    <xf numFmtId="0" fontId="67" fillId="35" borderId="0" xfId="0" applyFont="1" applyFill="1" applyAlignment="1" applyProtection="1">
      <alignment horizontal="center" vertical="center"/>
      <protection locked="0"/>
    </xf>
    <xf numFmtId="3" fontId="67" fillId="35" borderId="0" xfId="0" applyNumberFormat="1" applyFont="1" applyFill="1" applyAlignment="1" applyProtection="1">
      <alignment horizontal="center" vertical="center"/>
      <protection locked="0"/>
    </xf>
    <xf numFmtId="0" fontId="3" fillId="35" borderId="0" xfId="0" applyFont="1" applyFill="1" applyAlignment="1" applyProtection="1">
      <alignment horizontal="center" vertical="center"/>
      <protection locked="0"/>
    </xf>
    <xf numFmtId="3" fontId="67" fillId="35" borderId="0" xfId="0" applyNumberFormat="1" applyFont="1" applyFill="1" applyAlignment="1">
      <alignment horizontal="center" vertical="center"/>
    </xf>
    <xf numFmtId="165" fontId="67" fillId="35" borderId="0" xfId="0" applyNumberFormat="1" applyFont="1" applyFill="1" applyAlignment="1" applyProtection="1">
      <alignment horizontal="center" vertical="center"/>
      <protection locked="0"/>
    </xf>
    <xf numFmtId="0" fontId="11" fillId="35" borderId="0" xfId="0" applyFont="1" applyFill="1" applyAlignment="1" applyProtection="1">
      <alignment vertical="center"/>
      <protection locked="0"/>
    </xf>
    <xf numFmtId="0" fontId="69" fillId="35" borderId="0" xfId="0" applyFont="1" applyFill="1" applyAlignment="1" applyProtection="1">
      <alignment vertical="center" wrapText="1"/>
      <protection locked="0"/>
    </xf>
    <xf numFmtId="0" fontId="72" fillId="35" borderId="0" xfId="0" applyFont="1" applyFill="1" applyAlignment="1" applyProtection="1">
      <alignment vertical="center" wrapText="1"/>
      <protection locked="0"/>
    </xf>
    <xf numFmtId="169" fontId="67" fillId="35" borderId="0" xfId="0" applyNumberFormat="1" applyFont="1" applyFill="1" applyAlignment="1">
      <alignment horizontal="center" vertical="center"/>
    </xf>
    <xf numFmtId="3" fontId="73" fillId="35" borderId="0" xfId="0" applyNumberFormat="1" applyFont="1" applyFill="1" applyAlignment="1" applyProtection="1">
      <alignment vertical="center"/>
      <protection locked="0"/>
    </xf>
    <xf numFmtId="4" fontId="73" fillId="35" borderId="0" xfId="0" applyNumberFormat="1" applyFont="1" applyFill="1" applyAlignment="1">
      <alignment vertical="center"/>
    </xf>
    <xf numFmtId="3" fontId="73" fillId="35" borderId="0" xfId="0" applyNumberFormat="1" applyFont="1" applyFill="1" applyAlignment="1">
      <alignment vertical="center"/>
    </xf>
    <xf numFmtId="3" fontId="73" fillId="35" borderId="0" xfId="0" applyNumberFormat="1" applyFont="1" applyFill="1" applyAlignment="1">
      <alignment horizontal="center" vertical="center" wrapText="1"/>
    </xf>
    <xf numFmtId="3" fontId="73" fillId="35" borderId="0" xfId="0" applyNumberFormat="1" applyFont="1" applyFill="1" applyAlignment="1" applyProtection="1">
      <alignment horizontal="center" vertical="center"/>
      <protection locked="0"/>
    </xf>
    <xf numFmtId="0" fontId="73" fillId="35" borderId="0" xfId="0" applyFont="1" applyFill="1" applyAlignment="1" applyProtection="1">
      <alignment vertical="center"/>
      <protection locked="0"/>
    </xf>
    <xf numFmtId="0" fontId="67" fillId="35" borderId="0" xfId="0" applyFont="1" applyFill="1" applyAlignment="1">
      <alignment vertical="center"/>
    </xf>
    <xf numFmtId="0" fontId="67" fillId="35" borderId="0" xfId="0" applyFont="1" applyFill="1" applyAlignment="1">
      <alignment horizontal="right" vertical="center"/>
    </xf>
    <xf numFmtId="3" fontId="67" fillId="35" borderId="0" xfId="0" applyNumberFormat="1" applyFont="1" applyFill="1" applyAlignment="1" applyProtection="1">
      <alignment horizontal="right" vertical="center"/>
      <protection locked="0"/>
    </xf>
    <xf numFmtId="3" fontId="67" fillId="35" borderId="0" xfId="0" applyNumberFormat="1" applyFont="1" applyFill="1" applyAlignment="1" applyProtection="1">
      <alignment horizontal="left" vertical="center"/>
      <protection locked="0"/>
    </xf>
    <xf numFmtId="3" fontId="67" fillId="35" borderId="0" xfId="0" applyNumberFormat="1" applyFont="1" applyFill="1" applyAlignment="1" applyProtection="1">
      <alignment vertical="center"/>
      <protection locked="0"/>
    </xf>
    <xf numFmtId="37" fontId="67" fillId="35" borderId="0" xfId="0" applyNumberFormat="1" applyFont="1" applyFill="1" applyAlignment="1" applyProtection="1">
      <alignment horizontal="right" vertical="center"/>
      <protection locked="0"/>
    </xf>
    <xf numFmtId="3" fontId="67" fillId="35" borderId="0" xfId="0" applyNumberFormat="1" applyFont="1" applyFill="1" applyAlignment="1">
      <alignment horizontal="right" vertical="center"/>
    </xf>
    <xf numFmtId="0" fontId="67" fillId="35" borderId="0" xfId="0" applyFont="1" applyFill="1" applyAlignment="1" applyProtection="1">
      <alignment horizontal="right" vertical="center"/>
      <protection locked="0"/>
    </xf>
    <xf numFmtId="0" fontId="67" fillId="35" borderId="0" xfId="0" applyFont="1" applyFill="1" applyAlignment="1" applyProtection="1">
      <alignment horizontal="left" vertical="center" wrapText="1"/>
      <protection locked="0"/>
    </xf>
    <xf numFmtId="37" fontId="67" fillId="35" borderId="0" xfId="0" applyNumberFormat="1" applyFont="1" applyFill="1" applyAlignment="1">
      <alignment horizontal="right" vertical="center"/>
    </xf>
    <xf numFmtId="39" fontId="67" fillId="35" borderId="0" xfId="1" applyNumberFormat="1" applyFont="1" applyFill="1" applyBorder="1" applyAlignment="1" applyProtection="1">
      <alignment horizontal="right" vertical="center"/>
      <protection locked="0"/>
    </xf>
    <xf numFmtId="37" fontId="67" fillId="35" borderId="0" xfId="1" applyNumberFormat="1" applyFont="1" applyFill="1" applyBorder="1" applyAlignment="1" applyProtection="1">
      <alignment vertical="center"/>
      <protection locked="0"/>
    </xf>
    <xf numFmtId="3" fontId="67" fillId="35" borderId="0" xfId="0" applyNumberFormat="1" applyFont="1" applyFill="1" applyAlignment="1">
      <alignment horizontal="left" vertical="center"/>
    </xf>
    <xf numFmtId="3" fontId="67" fillId="35" borderId="0" xfId="0" applyNumberFormat="1" applyFont="1" applyFill="1" applyAlignment="1">
      <alignment horizontal="right" vertical="center" wrapText="1"/>
    </xf>
    <xf numFmtId="0" fontId="67" fillId="35" borderId="0" xfId="0" applyFont="1" applyFill="1" applyAlignment="1" applyProtection="1">
      <alignment horizontal="left" vertical="center"/>
      <protection locked="0"/>
    </xf>
    <xf numFmtId="43" fontId="67" fillId="35" borderId="0" xfId="1" applyFont="1" applyFill="1" applyBorder="1" applyAlignment="1" applyProtection="1">
      <alignment horizontal="center" vertical="center"/>
      <protection locked="0"/>
    </xf>
    <xf numFmtId="43" fontId="67" fillId="35" borderId="0" xfId="1" applyFont="1" applyFill="1" applyBorder="1" applyAlignment="1" applyProtection="1">
      <alignment vertical="center"/>
      <protection locked="0"/>
    </xf>
    <xf numFmtId="37" fontId="67" fillId="35" borderId="0" xfId="0" applyNumberFormat="1" applyFont="1" applyFill="1" applyAlignment="1" applyProtection="1">
      <alignment horizontal="center" vertical="center"/>
      <protection locked="0"/>
    </xf>
    <xf numFmtId="39" fontId="69" fillId="35" borderId="0" xfId="0" applyNumberFormat="1" applyFont="1" applyFill="1" applyAlignment="1" applyProtection="1">
      <alignment horizontal="center" vertical="center" wrapText="1"/>
      <protection locked="0"/>
    </xf>
    <xf numFmtId="43" fontId="67" fillId="35" borderId="0" xfId="1" applyFont="1" applyFill="1" applyBorder="1" applyAlignment="1" applyProtection="1">
      <alignment horizontal="center" vertical="center" wrapText="1"/>
      <protection locked="0"/>
    </xf>
    <xf numFmtId="2" fontId="67" fillId="35" borderId="0" xfId="0" applyNumberFormat="1" applyFont="1" applyFill="1" applyAlignment="1">
      <alignment horizontal="center" vertical="center" wrapText="1"/>
    </xf>
    <xf numFmtId="0" fontId="67" fillId="35" borderId="0" xfId="0" applyFont="1" applyFill="1" applyAlignment="1">
      <alignment vertical="center" wrapText="1"/>
    </xf>
    <xf numFmtId="0" fontId="67" fillId="35" borderId="0" xfId="0" applyFont="1" applyFill="1" applyAlignment="1">
      <alignment horizontal="left" vertical="center" wrapText="1"/>
    </xf>
    <xf numFmtId="0" fontId="67" fillId="35" borderId="0" xfId="0" applyFont="1" applyFill="1" applyAlignment="1" applyProtection="1">
      <alignment vertical="center" wrapText="1"/>
      <protection locked="0"/>
    </xf>
    <xf numFmtId="0" fontId="3" fillId="35" borderId="0" xfId="0" applyFont="1" applyFill="1" applyAlignment="1" applyProtection="1">
      <alignment vertical="center" wrapText="1"/>
      <protection locked="0"/>
    </xf>
    <xf numFmtId="4" fontId="67" fillId="35" borderId="0" xfId="0" applyNumberFormat="1" applyFont="1" applyFill="1" applyAlignment="1">
      <alignment horizontal="center" vertical="center"/>
    </xf>
    <xf numFmtId="0" fontId="74" fillId="35" borderId="0" xfId="0" applyFont="1" applyFill="1" applyAlignment="1">
      <alignment horizontal="center" vertical="center"/>
    </xf>
    <xf numFmtId="4" fontId="75" fillId="35" borderId="0" xfId="0" applyNumberFormat="1" applyFont="1" applyFill="1" applyAlignment="1">
      <alignment horizontal="center" vertical="center"/>
    </xf>
    <xf numFmtId="166" fontId="67" fillId="35" borderId="0" xfId="1" applyNumberFormat="1" applyFont="1" applyFill="1" applyBorder="1" applyAlignment="1" applyProtection="1">
      <alignment vertical="center"/>
      <protection locked="0"/>
    </xf>
    <xf numFmtId="2" fontId="67" fillId="35" borderId="0" xfId="2" applyNumberFormat="1" applyFont="1" applyFill="1" applyBorder="1" applyAlignment="1" applyProtection="1">
      <alignment horizontal="center" vertical="center"/>
    </xf>
    <xf numFmtId="43" fontId="67" fillId="35" borderId="0" xfId="0" applyNumberFormat="1" applyFont="1" applyFill="1" applyAlignment="1" applyProtection="1">
      <alignment vertical="center"/>
      <protection locked="0"/>
    </xf>
    <xf numFmtId="2" fontId="76" fillId="35" borderId="0" xfId="2" applyNumberFormat="1" applyFont="1" applyFill="1" applyBorder="1" applyAlignment="1" applyProtection="1">
      <alignment horizontal="right" vertical="center"/>
    </xf>
    <xf numFmtId="166" fontId="67" fillId="35" borderId="0" xfId="1" applyNumberFormat="1" applyFont="1" applyFill="1" applyBorder="1" applyAlignment="1" applyProtection="1">
      <alignment horizontal="center" vertical="center"/>
      <protection locked="0"/>
    </xf>
    <xf numFmtId="0" fontId="67" fillId="35" borderId="0" xfId="0" applyFont="1" applyFill="1" applyAlignment="1">
      <alignment horizontal="center" vertical="center"/>
    </xf>
    <xf numFmtId="0" fontId="75" fillId="35" borderId="0" xfId="0" applyFont="1" applyFill="1" applyAlignment="1">
      <alignment horizontal="center" vertical="center"/>
    </xf>
    <xf numFmtId="0" fontId="73" fillId="35" borderId="0" xfId="0" applyFont="1" applyFill="1" applyAlignment="1">
      <alignment vertical="center"/>
    </xf>
    <xf numFmtId="166" fontId="67" fillId="35" borderId="0" xfId="0" applyNumberFormat="1" applyFont="1" applyFill="1" applyAlignment="1" applyProtection="1">
      <alignment vertical="center"/>
      <protection locked="0"/>
    </xf>
    <xf numFmtId="10" fontId="67" fillId="35" borderId="0" xfId="2" applyNumberFormat="1" applyFont="1" applyFill="1" applyBorder="1" applyAlignment="1" applyProtection="1">
      <alignment vertical="center"/>
      <protection locked="0"/>
    </xf>
    <xf numFmtId="174" fontId="67" fillId="35" borderId="0" xfId="0" applyNumberFormat="1" applyFont="1" applyFill="1" applyAlignment="1">
      <alignment vertical="center"/>
    </xf>
    <xf numFmtId="166" fontId="67" fillId="35" borderId="0" xfId="0" applyNumberFormat="1" applyFont="1" applyFill="1" applyAlignment="1">
      <alignment vertical="center"/>
    </xf>
    <xf numFmtId="37" fontId="67" fillId="35" borderId="0" xfId="1" applyNumberFormat="1" applyFont="1" applyFill="1" applyBorder="1" applyAlignment="1" applyProtection="1">
      <alignment vertical="center"/>
    </xf>
    <xf numFmtId="4" fontId="67" fillId="35" borderId="0" xfId="0" applyNumberFormat="1" applyFont="1" applyFill="1" applyAlignment="1" applyProtection="1">
      <alignment vertical="center"/>
      <protection locked="0"/>
    </xf>
    <xf numFmtId="166" fontId="67" fillId="35" borderId="0" xfId="1" applyNumberFormat="1" applyFont="1" applyFill="1" applyBorder="1" applyAlignment="1" applyProtection="1">
      <alignment vertical="center"/>
    </xf>
    <xf numFmtId="43" fontId="67" fillId="35" borderId="0" xfId="0" applyNumberFormat="1" applyFont="1" applyFill="1" applyAlignment="1">
      <alignment vertical="center"/>
    </xf>
    <xf numFmtId="1" fontId="67" fillId="35" borderId="0" xfId="0" applyNumberFormat="1" applyFont="1" applyFill="1" applyAlignment="1">
      <alignment vertical="center"/>
    </xf>
    <xf numFmtId="164" fontId="67" fillId="35" borderId="0" xfId="0" applyNumberFormat="1" applyFont="1" applyFill="1" applyAlignment="1">
      <alignment vertical="center"/>
    </xf>
    <xf numFmtId="43" fontId="67" fillId="35" borderId="0" xfId="1" applyFont="1" applyFill="1" applyBorder="1" applyAlignment="1" applyProtection="1">
      <alignment vertical="center"/>
    </xf>
    <xf numFmtId="37" fontId="67" fillId="35" borderId="0" xfId="0" applyNumberFormat="1" applyFont="1" applyFill="1" applyAlignment="1">
      <alignment vertical="center"/>
    </xf>
    <xf numFmtId="0" fontId="67" fillId="35" borderId="0" xfId="0" quotePrefix="1" applyFont="1" applyFill="1" applyAlignment="1" applyProtection="1">
      <alignment horizontal="center" vertical="center"/>
      <protection locked="0"/>
    </xf>
    <xf numFmtId="37" fontId="67" fillId="35" borderId="0" xfId="1" applyNumberFormat="1" applyFont="1" applyFill="1" applyBorder="1" applyAlignment="1" applyProtection="1">
      <alignment horizontal="center" vertical="center" wrapText="1"/>
    </xf>
    <xf numFmtId="0" fontId="67" fillId="35" borderId="0" xfId="0" applyFont="1" applyFill="1" applyAlignment="1" applyProtection="1">
      <alignment horizontal="center" vertical="center" wrapText="1"/>
      <protection locked="0"/>
    </xf>
    <xf numFmtId="166" fontId="67" fillId="35" borderId="0" xfId="1" applyNumberFormat="1" applyFont="1" applyFill="1" applyBorder="1" applyAlignment="1" applyProtection="1">
      <alignment horizontal="center" vertical="center" wrapText="1"/>
    </xf>
    <xf numFmtId="0" fontId="73" fillId="35" borderId="0" xfId="0" applyFont="1" applyFill="1" applyAlignment="1">
      <alignment horizontal="center" vertical="center" wrapText="1"/>
    </xf>
    <xf numFmtId="0" fontId="73" fillId="35" borderId="0" xfId="0" applyFont="1" applyFill="1" applyAlignment="1" applyProtection="1">
      <alignment horizontal="center" vertical="center" wrapText="1"/>
      <protection locked="0"/>
    </xf>
    <xf numFmtId="171" fontId="67" fillId="35" borderId="0" xfId="2" applyNumberFormat="1" applyFont="1" applyFill="1" applyBorder="1" applyAlignment="1" applyProtection="1">
      <alignment horizontal="center" vertical="center" wrapText="1"/>
    </xf>
    <xf numFmtId="43" fontId="67" fillId="35" borderId="0" xfId="1" applyFont="1" applyFill="1" applyBorder="1" applyAlignment="1" applyProtection="1">
      <alignment horizontal="center" vertical="center" wrapText="1"/>
    </xf>
    <xf numFmtId="0" fontId="73" fillId="35" borderId="0" xfId="0" applyFont="1" applyFill="1" applyAlignment="1">
      <alignment vertical="center" wrapText="1"/>
    </xf>
    <xf numFmtId="0" fontId="74" fillId="35" borderId="0" xfId="0" applyFont="1" applyFill="1" applyAlignment="1">
      <alignment vertical="center" wrapText="1"/>
    </xf>
    <xf numFmtId="0" fontId="73" fillId="35" borderId="0" xfId="0" applyFont="1" applyFill="1" applyAlignment="1">
      <alignment horizontal="center" vertical="center"/>
    </xf>
    <xf numFmtId="0" fontId="73" fillId="35" borderId="0" xfId="0" applyFont="1" applyFill="1" applyAlignment="1">
      <alignment horizontal="left" vertical="center" wrapText="1"/>
    </xf>
    <xf numFmtId="2" fontId="73" fillId="35" borderId="0" xfId="0" applyNumberFormat="1" applyFont="1" applyFill="1" applyAlignment="1">
      <alignment horizontal="center" vertical="center"/>
    </xf>
    <xf numFmtId="0" fontId="67" fillId="35" borderId="0" xfId="0" applyFont="1" applyFill="1" applyAlignment="1">
      <alignment horizontal="left" vertical="center"/>
    </xf>
    <xf numFmtId="0" fontId="76" fillId="35" borderId="0" xfId="0" applyFont="1" applyFill="1" applyAlignment="1" applyProtection="1">
      <alignment horizontal="right" vertical="center"/>
      <protection locked="0"/>
    </xf>
    <xf numFmtId="37" fontId="76" fillId="35" borderId="0" xfId="1" applyNumberFormat="1" applyFont="1" applyFill="1" applyBorder="1" applyAlignment="1" applyProtection="1">
      <alignment horizontal="center" vertical="center"/>
    </xf>
    <xf numFmtId="173" fontId="73" fillId="35" borderId="0" xfId="1" applyNumberFormat="1" applyFont="1" applyFill="1" applyBorder="1" applyAlignment="1" applyProtection="1">
      <alignment horizontal="center" vertical="center"/>
    </xf>
    <xf numFmtId="172" fontId="73" fillId="35" borderId="0" xfId="0" applyNumberFormat="1" applyFont="1" applyFill="1" applyAlignment="1">
      <alignment horizontal="center" vertical="center"/>
    </xf>
    <xf numFmtId="37" fontId="76" fillId="35" borderId="0" xfId="0" applyNumberFormat="1" applyFont="1" applyFill="1" applyAlignment="1">
      <alignment horizontal="center" vertical="center"/>
    </xf>
    <xf numFmtId="0" fontId="76" fillId="35" borderId="0" xfId="0" applyFont="1" applyFill="1" applyAlignment="1">
      <alignment horizontal="left" vertical="center"/>
    </xf>
    <xf numFmtId="2" fontId="67" fillId="35" borderId="0" xfId="0" applyNumberFormat="1" applyFont="1" applyFill="1" applyAlignment="1">
      <alignment horizontal="center" vertical="center"/>
    </xf>
    <xf numFmtId="0" fontId="73" fillId="35" borderId="0" xfId="0" applyFont="1" applyFill="1" applyAlignment="1">
      <alignment horizontal="left" vertical="center"/>
    </xf>
    <xf numFmtId="4" fontId="73" fillId="35" borderId="0" xfId="0" applyNumberFormat="1" applyFont="1" applyFill="1" applyAlignment="1">
      <alignment horizontal="center" vertical="center"/>
    </xf>
    <xf numFmtId="0" fontId="76" fillId="35" borderId="0" xfId="0" applyFont="1" applyFill="1" applyAlignment="1">
      <alignment horizontal="right" vertical="center"/>
    </xf>
    <xf numFmtId="0" fontId="76" fillId="35" borderId="0" xfId="0" applyFont="1" applyFill="1" applyAlignment="1">
      <alignment horizontal="right" vertical="center" wrapText="1"/>
    </xf>
    <xf numFmtId="39" fontId="73" fillId="35" borderId="0" xfId="1" applyNumberFormat="1" applyFont="1" applyFill="1" applyBorder="1" applyAlignment="1" applyProtection="1">
      <alignment horizontal="center" vertical="center"/>
    </xf>
    <xf numFmtId="170" fontId="73" fillId="35" borderId="0" xfId="0" applyNumberFormat="1" applyFont="1" applyFill="1" applyAlignment="1">
      <alignment horizontal="center" vertical="center"/>
    </xf>
    <xf numFmtId="2" fontId="67" fillId="35" borderId="0" xfId="0" applyNumberFormat="1" applyFont="1" applyFill="1" applyAlignment="1">
      <alignment vertical="center" wrapText="1"/>
    </xf>
    <xf numFmtId="3" fontId="82" fillId="36" borderId="1" xfId="0" applyNumberFormat="1" applyFont="1" applyFill="1" applyBorder="1" applyAlignment="1" applyProtection="1">
      <alignment horizontal="center" vertical="center" wrapText="1"/>
      <protection locked="0"/>
    </xf>
    <xf numFmtId="0" fontId="82" fillId="36" borderId="1" xfId="0" applyFont="1" applyFill="1" applyBorder="1" applyAlignment="1" applyProtection="1">
      <alignment horizontal="center" vertical="center" wrapText="1"/>
      <protection locked="0"/>
    </xf>
    <xf numFmtId="9" fontId="82" fillId="36" borderId="1" xfId="2" applyFont="1" applyFill="1" applyBorder="1" applyAlignment="1" applyProtection="1">
      <alignment horizontal="center" vertical="center" wrapText="1"/>
      <protection locked="0"/>
    </xf>
    <xf numFmtId="0" fontId="82" fillId="36" borderId="1" xfId="0" applyFont="1" applyFill="1" applyBorder="1" applyAlignment="1" applyProtection="1">
      <alignment horizontal="center" vertical="center"/>
      <protection locked="0"/>
    </xf>
    <xf numFmtId="3" fontId="82" fillId="37" borderId="1" xfId="0" applyNumberFormat="1" applyFont="1" applyFill="1" applyBorder="1" applyAlignment="1" applyProtection="1">
      <alignment horizontal="center" vertical="center" wrapText="1"/>
      <protection locked="0"/>
    </xf>
    <xf numFmtId="0" fontId="78" fillId="30" borderId="1" xfId="0" applyFont="1" applyFill="1" applyBorder="1" applyAlignment="1">
      <alignment horizontal="center" vertical="center"/>
    </xf>
    <xf numFmtId="0" fontId="78" fillId="30" borderId="4" xfId="0" applyFont="1" applyFill="1" applyBorder="1" applyAlignment="1">
      <alignment horizontal="center" vertical="center" wrapText="1"/>
    </xf>
    <xf numFmtId="0" fontId="78" fillId="30" borderId="6" xfId="0" applyFont="1" applyFill="1" applyBorder="1" applyAlignment="1">
      <alignment horizontal="center" vertical="center" wrapText="1"/>
    </xf>
    <xf numFmtId="0" fontId="78" fillId="30" borderId="2" xfId="0" applyFont="1" applyFill="1" applyBorder="1" applyAlignment="1">
      <alignment horizontal="center" vertical="center" wrapText="1"/>
    </xf>
    <xf numFmtId="3" fontId="5" fillId="0" borderId="0" xfId="0" applyNumberFormat="1" applyFont="1" applyAlignment="1">
      <alignment horizontal="center" vertical="center"/>
    </xf>
    <xf numFmtId="0" fontId="83" fillId="33" borderId="35" xfId="0" applyFont="1" applyFill="1" applyBorder="1" applyAlignment="1">
      <alignment horizontal="center" vertical="center"/>
    </xf>
    <xf numFmtId="0" fontId="83" fillId="33" borderId="37" xfId="0" applyFont="1" applyFill="1" applyBorder="1" applyAlignment="1">
      <alignment horizontal="center" vertical="center"/>
    </xf>
    <xf numFmtId="0" fontId="83" fillId="33" borderId="40" xfId="0" applyFont="1" applyFill="1" applyBorder="1" applyAlignment="1">
      <alignment horizontal="center" vertical="center"/>
    </xf>
    <xf numFmtId="0" fontId="3" fillId="0" borderId="5"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0" fillId="0" borderId="1" xfId="0" applyBorder="1" applyAlignment="1">
      <alignment horizontal="center" vertical="top" wrapText="1"/>
    </xf>
    <xf numFmtId="0" fontId="68" fillId="30" borderId="1" xfId="0" applyFont="1" applyFill="1" applyBorder="1" applyAlignment="1">
      <alignment horizontal="center" vertical="center"/>
    </xf>
    <xf numFmtId="0" fontId="77" fillId="30" borderId="0" xfId="0" applyFont="1" applyFill="1" applyAlignment="1">
      <alignment horizontal="center" vertical="center"/>
    </xf>
    <xf numFmtId="0" fontId="78" fillId="30" borderId="0" xfId="0" applyFont="1" applyFill="1" applyAlignment="1">
      <alignment horizontal="center" vertical="center"/>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41" xfId="0" applyBorder="1" applyAlignment="1">
      <alignment horizontal="center" vertical="center" wrapText="1"/>
    </xf>
    <xf numFmtId="0" fontId="17" fillId="0" borderId="0" xfId="0" applyFont="1" applyAlignment="1">
      <alignment horizontal="center" vertical="center"/>
    </xf>
    <xf numFmtId="0" fontId="68" fillId="30" borderId="4" xfId="0" applyFont="1" applyFill="1" applyBorder="1" applyAlignment="1">
      <alignment horizontal="center" vertical="center"/>
    </xf>
    <xf numFmtId="0" fontId="68" fillId="30" borderId="2" xfId="0" applyFont="1" applyFill="1" applyBorder="1" applyAlignment="1">
      <alignment horizontal="center" vertical="center"/>
    </xf>
    <xf numFmtId="0" fontId="0" fillId="0" borderId="1" xfId="0" applyBorder="1" applyAlignment="1">
      <alignment horizontal="center" vertical="center" wrapText="1"/>
    </xf>
    <xf numFmtId="0" fontId="68" fillId="30" borderId="1" xfId="0" applyFont="1" applyFill="1" applyBorder="1" applyAlignment="1" applyProtection="1">
      <alignment horizontal="center" vertical="center" wrapText="1"/>
      <protection locked="0"/>
    </xf>
    <xf numFmtId="190" fontId="70" fillId="34" borderId="1" xfId="0" applyNumberFormat="1" applyFont="1" applyFill="1" applyBorder="1" applyAlignment="1" applyProtection="1">
      <alignment horizontal="center" vertical="center"/>
      <protection locked="0"/>
    </xf>
    <xf numFmtId="0" fontId="78" fillId="30" borderId="3" xfId="0" applyFont="1" applyFill="1" applyBorder="1" applyAlignment="1">
      <alignment horizontal="center" vertical="center" wrapText="1"/>
    </xf>
    <xf numFmtId="0" fontId="78" fillId="30" borderId="5"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52" fillId="0" borderId="0" xfId="0" applyFont="1" applyAlignment="1" applyProtection="1">
      <alignment horizontal="center" vertical="center" wrapText="1"/>
      <protection locked="0"/>
    </xf>
    <xf numFmtId="0" fontId="11" fillId="0" borderId="0" xfId="0" applyFont="1" applyAlignment="1" applyProtection="1">
      <alignment horizontal="left" vertical="top" wrapText="1"/>
      <protection locked="0"/>
    </xf>
    <xf numFmtId="0" fontId="3" fillId="0" borderId="35"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17" fillId="0" borderId="41" xfId="0" applyFont="1" applyBorder="1" applyAlignment="1">
      <alignment horizontal="center" vertical="center"/>
    </xf>
    <xf numFmtId="0" fontId="8" fillId="27" borderId="34" xfId="0" applyFont="1" applyFill="1" applyBorder="1" applyAlignment="1" applyProtection="1">
      <alignment horizontal="center" vertical="center"/>
      <protection locked="0"/>
    </xf>
    <xf numFmtId="0" fontId="8" fillId="27" borderId="38" xfId="0" applyFont="1" applyFill="1" applyBorder="1" applyAlignment="1" applyProtection="1">
      <alignment horizontal="center" vertical="center"/>
      <protection locked="0"/>
    </xf>
    <xf numFmtId="0" fontId="74" fillId="30" borderId="1" xfId="0" applyFont="1" applyFill="1" applyBorder="1" applyAlignment="1" applyProtection="1">
      <alignment horizontal="center" vertical="center" wrapText="1"/>
      <protection locked="0"/>
    </xf>
    <xf numFmtId="0" fontId="74" fillId="30" borderId="4" xfId="0" applyFont="1" applyFill="1" applyBorder="1" applyAlignment="1" applyProtection="1">
      <alignment horizontal="center" vertical="center" wrapText="1"/>
      <protection locked="0"/>
    </xf>
    <xf numFmtId="0" fontId="74" fillId="30" borderId="6" xfId="0" applyFont="1" applyFill="1" applyBorder="1" applyAlignment="1" applyProtection="1">
      <alignment horizontal="center" vertical="center" wrapText="1"/>
      <protection locked="0"/>
    </xf>
    <xf numFmtId="0" fontId="74" fillId="30" borderId="2" xfId="0" applyFont="1" applyFill="1" applyBorder="1" applyAlignment="1" applyProtection="1">
      <alignment horizontal="center" vertical="center" wrapText="1"/>
      <protection locked="0"/>
    </xf>
    <xf numFmtId="0" fontId="82" fillId="31" borderId="1" xfId="0" applyFont="1" applyFill="1" applyBorder="1" applyAlignment="1" applyProtection="1">
      <alignment horizontal="center" vertical="center"/>
      <protection locked="0"/>
    </xf>
    <xf numFmtId="0" fontId="83" fillId="31" borderId="2" xfId="0" applyFont="1" applyFill="1" applyBorder="1" applyAlignment="1">
      <alignment horizontal="center" vertical="center"/>
    </xf>
    <xf numFmtId="0" fontId="74" fillId="30" borderId="3" xfId="0" applyFont="1" applyFill="1" applyBorder="1" applyAlignment="1" applyProtection="1">
      <alignment horizontal="right" vertical="center" wrapText="1"/>
      <protection locked="0"/>
    </xf>
    <xf numFmtId="0" fontId="74" fillId="30" borderId="5" xfId="0" applyFont="1" applyFill="1" applyBorder="1" applyAlignment="1" applyProtection="1">
      <alignment horizontal="right" vertical="center" wrapText="1"/>
      <protection locked="0"/>
    </xf>
    <xf numFmtId="0" fontId="82" fillId="31" borderId="3" xfId="0" applyFont="1" applyFill="1" applyBorder="1" applyAlignment="1" applyProtection="1">
      <alignment horizontal="center" vertical="center"/>
      <protection locked="0"/>
    </xf>
    <xf numFmtId="0" fontId="82" fillId="31" borderId="5" xfId="0" applyFont="1" applyFill="1" applyBorder="1" applyAlignment="1" applyProtection="1">
      <alignment horizontal="center" vertical="center"/>
      <protection locked="0"/>
    </xf>
    <xf numFmtId="0" fontId="75" fillId="30" borderId="3" xfId="0" applyFont="1" applyFill="1" applyBorder="1" applyAlignment="1" applyProtection="1">
      <alignment horizontal="right" vertical="center"/>
      <protection locked="0"/>
    </xf>
    <xf numFmtId="0" fontId="75" fillId="30" borderId="5" xfId="0" applyFont="1" applyFill="1" applyBorder="1" applyAlignment="1" applyProtection="1">
      <alignment horizontal="right" vertical="center"/>
      <protection locked="0"/>
    </xf>
    <xf numFmtId="0" fontId="74" fillId="30" borderId="41" xfId="0" applyFont="1" applyFill="1" applyBorder="1" applyAlignment="1" applyProtection="1">
      <alignment horizontal="right" vertical="center" wrapText="1"/>
      <protection locked="0"/>
    </xf>
    <xf numFmtId="0" fontId="68" fillId="30" borderId="4" xfId="0" applyFont="1" applyFill="1" applyBorder="1" applyAlignment="1" applyProtection="1">
      <alignment horizontal="center" vertical="center" wrapText="1"/>
      <protection locked="0"/>
    </xf>
    <xf numFmtId="0" fontId="68" fillId="30" borderId="6" xfId="0" applyFont="1" applyFill="1" applyBorder="1" applyAlignment="1" applyProtection="1">
      <alignment horizontal="center" vertical="center" wrapText="1"/>
      <protection locked="0"/>
    </xf>
    <xf numFmtId="0" fontId="68" fillId="30" borderId="2" xfId="0" applyFont="1" applyFill="1" applyBorder="1" applyAlignment="1" applyProtection="1">
      <alignment horizontal="center" vertical="center" wrapText="1"/>
      <protection locked="0"/>
    </xf>
    <xf numFmtId="0" fontId="71" fillId="30" borderId="5" xfId="45816" applyFont="1" applyFill="1" applyBorder="1" applyAlignment="1" applyProtection="1">
      <alignment horizontal="center" vertical="center" wrapText="1"/>
      <protection locked="0"/>
    </xf>
    <xf numFmtId="0" fontId="71" fillId="30" borderId="1" xfId="45816" applyFont="1" applyFill="1" applyBorder="1" applyAlignment="1" applyProtection="1">
      <alignment horizontal="center" vertical="center" wrapText="1"/>
      <protection locked="0"/>
    </xf>
    <xf numFmtId="0" fontId="71" fillId="30" borderId="1" xfId="0" applyFont="1" applyFill="1" applyBorder="1" applyAlignment="1" applyProtection="1">
      <alignment horizontal="center" vertical="center" wrapText="1"/>
      <protection locked="0"/>
    </xf>
    <xf numFmtId="0" fontId="16" fillId="0" borderId="1" xfId="0" applyFont="1" applyBorder="1" applyAlignment="1">
      <alignment horizontal="center" vertical="center"/>
    </xf>
    <xf numFmtId="0" fontId="71" fillId="30" borderId="1" xfId="0" applyFont="1" applyFill="1" applyBorder="1" applyAlignment="1">
      <alignment horizontal="center" vertical="center"/>
    </xf>
    <xf numFmtId="0" fontId="81" fillId="30" borderId="4" xfId="0" applyFont="1" applyFill="1" applyBorder="1" applyAlignment="1" applyProtection="1">
      <alignment horizontal="center" vertical="center" wrapText="1"/>
      <protection locked="0"/>
    </xf>
    <xf numFmtId="0" fontId="81" fillId="30" borderId="6" xfId="0" applyFont="1" applyFill="1" applyBorder="1" applyAlignment="1" applyProtection="1">
      <alignment horizontal="center" vertical="center" wrapText="1"/>
      <protection locked="0"/>
    </xf>
    <xf numFmtId="0" fontId="81" fillId="30" borderId="2" xfId="0" applyFont="1" applyFill="1" applyBorder="1" applyAlignment="1" applyProtection="1">
      <alignment horizontal="center" vertical="center" wrapText="1"/>
      <protection locked="0"/>
    </xf>
    <xf numFmtId="0" fontId="71" fillId="30" borderId="3" xfId="0" applyFont="1" applyFill="1" applyBorder="1" applyAlignment="1" applyProtection="1">
      <alignment horizontal="center" vertical="center" wrapText="1"/>
      <protection locked="0"/>
    </xf>
    <xf numFmtId="0" fontId="71" fillId="30" borderId="5" xfId="0" applyFont="1" applyFill="1" applyBorder="1" applyAlignment="1" applyProtection="1">
      <alignment horizontal="center" vertical="center" wrapText="1"/>
      <protection locked="0"/>
    </xf>
    <xf numFmtId="3" fontId="0" fillId="0" borderId="1" xfId="1" applyNumberFormat="1" applyFont="1" applyFill="1" applyBorder="1" applyAlignment="1">
      <alignment horizontal="left" vertical="center"/>
    </xf>
    <xf numFmtId="3" fontId="0" fillId="0" borderId="3" xfId="1" applyNumberFormat="1" applyFont="1" applyFill="1" applyBorder="1" applyAlignment="1">
      <alignment horizontal="center" vertical="center"/>
    </xf>
    <xf numFmtId="3" fontId="0" fillId="0" borderId="41" xfId="1" applyNumberFormat="1" applyFont="1" applyFill="1" applyBorder="1" applyAlignment="1">
      <alignment horizontal="center" vertical="center"/>
    </xf>
    <xf numFmtId="0" fontId="0" fillId="0" borderId="1" xfId="0" applyBorder="1" applyAlignment="1">
      <alignment horizontal="center" vertical="center"/>
    </xf>
    <xf numFmtId="0" fontId="71" fillId="30" borderId="3" xfId="0" applyFont="1" applyFill="1" applyBorder="1" applyAlignment="1">
      <alignment horizontal="center" vertical="center" wrapText="1"/>
    </xf>
    <xf numFmtId="0" fontId="71" fillId="30" borderId="41" xfId="0" applyFont="1" applyFill="1" applyBorder="1" applyAlignment="1">
      <alignment horizontal="center" vertical="center" wrapText="1"/>
    </xf>
    <xf numFmtId="0" fontId="71" fillId="30" borderId="41" xfId="0" applyFont="1" applyFill="1" applyBorder="1" applyAlignment="1">
      <alignment horizontal="center" vertical="center"/>
    </xf>
    <xf numFmtId="0" fontId="0" fillId="0" borderId="1" xfId="0" applyBorder="1" applyAlignment="1" applyProtection="1">
      <alignment horizontal="left" vertical="center" wrapText="1"/>
      <protection locked="0"/>
    </xf>
    <xf numFmtId="0" fontId="68" fillId="30" borderId="6" xfId="0" applyFont="1" applyFill="1" applyBorder="1" applyAlignment="1">
      <alignment horizontal="center" vertical="center"/>
    </xf>
    <xf numFmtId="0" fontId="16" fillId="0" borderId="1" xfId="0" applyFont="1" applyBorder="1" applyAlignment="1">
      <alignment horizontal="center" vertical="center" wrapText="1"/>
    </xf>
    <xf numFmtId="0" fontId="0" fillId="0" borderId="1" xfId="0" applyBorder="1" applyAlignment="1">
      <alignment horizontal="left" vertical="center"/>
    </xf>
    <xf numFmtId="0" fontId="16" fillId="0" borderId="3" xfId="0" applyFont="1" applyBorder="1" applyAlignment="1">
      <alignment horizontal="center" vertical="center" wrapText="1"/>
    </xf>
    <xf numFmtId="0" fontId="16" fillId="0" borderId="41" xfId="0" applyFont="1" applyBorder="1" applyAlignment="1">
      <alignment horizontal="center" vertical="center" wrapText="1"/>
    </xf>
    <xf numFmtId="0" fontId="56" fillId="0" borderId="3" xfId="0" applyFont="1" applyBorder="1" applyAlignment="1">
      <alignment horizontal="left" vertical="center"/>
    </xf>
    <xf numFmtId="0" fontId="56" fillId="0" borderId="5" xfId="0" applyFont="1" applyBorder="1" applyAlignment="1">
      <alignment horizontal="left" vertical="center"/>
    </xf>
  </cellXfs>
  <cellStyles count="59391">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xfId="59388" builtinId="22"/>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2" xfId="44124" xr:uid="{3B3DDE51-481B-4FAE-BC3D-D087F55E880C}"/>
    <cellStyle name="Comma 2 2" xfId="44155" xr:uid="{BB9319CD-09BE-4302-B0AB-26033C365EC9}"/>
    <cellStyle name="Comma 2 3" xfId="59390" xr:uid="{9647D3DE-D4FF-4E9A-BCC6-C0EC337FABEA}"/>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89" xr:uid="{CB5EDAAE-C9F1-4056-B0B7-B89C4875E9D3}"/>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B6CC88CD-942E-4D5F-A184-D6C2D41DBDE8}"/>
  </tableStyles>
  <colors>
    <mruColors>
      <color rgb="FF1B8ABF"/>
      <color rgb="FFB5E0E1"/>
      <color rgb="FFFAB627"/>
      <color rgb="FFD9D9D9"/>
      <color rgb="FFFFFFCC"/>
      <color rgb="FFFBC65B"/>
      <color rgb="FFDFDFE1"/>
      <color rgb="FF2798A9"/>
      <color rgb="FFFFFFDD"/>
      <color rgb="FFACD1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06/relationships/vbaProject" Target="vbaProject.bin"/><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6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9.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0.emf"/><Relationship Id="rId13" Type="http://schemas.openxmlformats.org/officeDocument/2006/relationships/image" Target="../media/image15.emf"/><Relationship Id="rId3" Type="http://schemas.openxmlformats.org/officeDocument/2006/relationships/image" Target="../media/image5.emf"/><Relationship Id="rId7" Type="http://schemas.openxmlformats.org/officeDocument/2006/relationships/image" Target="../media/image9.emf"/><Relationship Id="rId12" Type="http://schemas.openxmlformats.org/officeDocument/2006/relationships/image" Target="../media/image14.emf"/><Relationship Id="rId2" Type="http://schemas.openxmlformats.org/officeDocument/2006/relationships/image" Target="../media/image4.emf"/><Relationship Id="rId16" Type="http://schemas.openxmlformats.org/officeDocument/2006/relationships/image" Target="../media/image18.emf"/><Relationship Id="rId1" Type="http://schemas.openxmlformats.org/officeDocument/2006/relationships/image" Target="../media/image3.emf"/><Relationship Id="rId6" Type="http://schemas.openxmlformats.org/officeDocument/2006/relationships/image" Target="../media/image8.emf"/><Relationship Id="rId11" Type="http://schemas.openxmlformats.org/officeDocument/2006/relationships/image" Target="../media/image13.emf"/><Relationship Id="rId5" Type="http://schemas.openxmlformats.org/officeDocument/2006/relationships/image" Target="../media/image7.emf"/><Relationship Id="rId15" Type="http://schemas.openxmlformats.org/officeDocument/2006/relationships/image" Target="../media/image17.emf"/><Relationship Id="rId10" Type="http://schemas.openxmlformats.org/officeDocument/2006/relationships/image" Target="../media/image12.emf"/><Relationship Id="rId4" Type="http://schemas.openxmlformats.org/officeDocument/2006/relationships/image" Target="../media/image6.emf"/><Relationship Id="rId9" Type="http://schemas.openxmlformats.org/officeDocument/2006/relationships/image" Target="../media/image11.emf"/><Relationship Id="rId14" Type="http://schemas.openxmlformats.org/officeDocument/2006/relationships/image" Target="../media/image16.emf"/></Relationships>
</file>

<file path=xl/drawings/drawing1.xml><?xml version="1.0" encoding="utf-8"?>
<xdr:wsDr xmlns:xdr="http://schemas.openxmlformats.org/drawingml/2006/spreadsheetDrawing" xmlns:a="http://schemas.openxmlformats.org/drawingml/2006/main">
  <xdr:twoCellAnchor editAs="oneCell">
    <xdr:from>
      <xdr:col>4</xdr:col>
      <xdr:colOff>255269</xdr:colOff>
      <xdr:row>1</xdr:row>
      <xdr:rowOff>229730</xdr:rowOff>
    </xdr:from>
    <xdr:to>
      <xdr:col>5</xdr:col>
      <xdr:colOff>1419228</xdr:colOff>
      <xdr:row>2</xdr:row>
      <xdr:rowOff>10655</xdr:rowOff>
    </xdr:to>
    <xdr:pic>
      <xdr:nvPicPr>
        <xdr:cNvPr id="3" name="Picture 2">
          <a:extLst>
            <a:ext uri="{FF2B5EF4-FFF2-40B4-BE49-F238E27FC236}">
              <a16:creationId xmlns:a16="http://schemas.microsoft.com/office/drawing/2014/main" id="{D4FC8A89-0145-42A6-8FF7-A49BFC14D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51269" y="477380"/>
          <a:ext cx="2545084" cy="1143000"/>
        </a:xfrm>
        <a:prstGeom prst="rect">
          <a:avLst/>
        </a:prstGeom>
      </xdr:spPr>
    </xdr:pic>
    <xdr:clientData/>
  </xdr:twoCellAnchor>
  <xdr:oneCellAnchor>
    <xdr:from>
      <xdr:col>5</xdr:col>
      <xdr:colOff>2857500</xdr:colOff>
      <xdr:row>1</xdr:row>
      <xdr:rowOff>9525</xdr:rowOff>
    </xdr:from>
    <xdr:ext cx="4181475" cy="843821"/>
    <xdr:sp macro="" textlink="">
      <xdr:nvSpPr>
        <xdr:cNvPr id="2" name="TextBox 1">
          <a:extLst>
            <a:ext uri="{FF2B5EF4-FFF2-40B4-BE49-F238E27FC236}">
              <a16:creationId xmlns:a16="http://schemas.microsoft.com/office/drawing/2014/main" id="{09216E15-593B-42DE-9A06-EEFEB654D8DC}"/>
            </a:ext>
          </a:extLst>
        </xdr:cNvPr>
        <xdr:cNvSpPr txBox="1"/>
      </xdr:nvSpPr>
      <xdr:spPr>
        <a:xfrm>
          <a:off x="10334625" y="257175"/>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Organic Waste Biomethane,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905857</xdr:colOff>
      <xdr:row>0</xdr:row>
      <xdr:rowOff>352474</xdr:rowOff>
    </xdr:to>
    <xdr:pic>
      <xdr:nvPicPr>
        <xdr:cNvPr id="3" name="Picture 2">
          <a:extLst>
            <a:ext uri="{FF2B5EF4-FFF2-40B4-BE49-F238E27FC236}">
              <a16:creationId xmlns:a16="http://schemas.microsoft.com/office/drawing/2014/main" id="{17FF261A-1524-FE3A-BD05-7D4F4D0563CB}"/>
            </a:ext>
          </a:extLst>
        </xdr:cNvPr>
        <xdr:cNvPicPr>
          <a:picLocks noChangeAspect="1"/>
        </xdr:cNvPicPr>
      </xdr:nvPicPr>
      <xdr:blipFill>
        <a:blip xmlns:r="http://schemas.openxmlformats.org/officeDocument/2006/relationships" r:embed="rId1"/>
        <a:stretch>
          <a:fillRect/>
        </a:stretch>
      </xdr:blipFill>
      <xdr:spPr>
        <a:xfrm>
          <a:off x="378558" y="0"/>
          <a:ext cx="5277587" cy="352474"/>
        </a:xfrm>
        <a:prstGeom prst="rect">
          <a:avLst/>
        </a:prstGeom>
      </xdr:spPr>
    </xdr:pic>
    <xdr:clientData/>
  </xdr:twoCellAnchor>
  <xdr:oneCellAnchor>
    <xdr:from>
      <xdr:col>1</xdr:col>
      <xdr:colOff>0</xdr:colOff>
      <xdr:row>1</xdr:row>
      <xdr:rowOff>0</xdr:rowOff>
    </xdr:from>
    <xdr:ext cx="10196634" cy="468077"/>
    <xdr:sp macro="" textlink="">
      <xdr:nvSpPr>
        <xdr:cNvPr id="2" name="TextBox 1">
          <a:extLst>
            <a:ext uri="{FF2B5EF4-FFF2-40B4-BE49-F238E27FC236}">
              <a16:creationId xmlns:a16="http://schemas.microsoft.com/office/drawing/2014/main" id="{6EEE4750-9C89-43FC-8D1C-6FD96B3CA97D}"/>
            </a:ext>
          </a:extLst>
        </xdr:cNvPr>
        <xdr:cNvSpPr txBox="1"/>
      </xdr:nvSpPr>
      <xdr:spPr>
        <a:xfrm>
          <a:off x="378558" y="378558"/>
          <a:ext cx="10196634"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biomethane quantities, loss factors, avoided emissions, calculated CI results, margin of safety, CI for certification,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95250</xdr:colOff>
          <xdr:row>12</xdr:row>
          <xdr:rowOff>228600</xdr:rowOff>
        </xdr:from>
        <xdr:to>
          <xdr:col>2</xdr:col>
          <xdr:colOff>1371600</xdr:colOff>
          <xdr:row>13</xdr:row>
          <xdr:rowOff>228600</xdr:rowOff>
        </xdr:to>
        <xdr:sp macro="" textlink="">
          <xdr:nvSpPr>
            <xdr:cNvPr id="3118" name="PE_GridE"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12</xdr:row>
          <xdr:rowOff>9525</xdr:rowOff>
        </xdr:from>
        <xdr:to>
          <xdr:col>3</xdr:col>
          <xdr:colOff>9525</xdr:colOff>
          <xdr:row>13</xdr:row>
          <xdr:rowOff>9525</xdr:rowOff>
        </xdr:to>
        <xdr:sp macro="" textlink="">
          <xdr:nvSpPr>
            <xdr:cNvPr id="3119" name="PE_LPG"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12</xdr:row>
          <xdr:rowOff>0</xdr:rowOff>
        </xdr:from>
        <xdr:to>
          <xdr:col>2</xdr:col>
          <xdr:colOff>1419225</xdr:colOff>
          <xdr:row>13</xdr:row>
          <xdr:rowOff>0</xdr:rowOff>
        </xdr:to>
        <xdr:sp macro="" textlink="">
          <xdr:nvSpPr>
            <xdr:cNvPr id="3120" name="PE_NG"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13</xdr:row>
          <xdr:rowOff>19050</xdr:rowOff>
        </xdr:from>
        <xdr:to>
          <xdr:col>2</xdr:col>
          <xdr:colOff>3143250</xdr:colOff>
          <xdr:row>14</xdr:row>
          <xdr:rowOff>19050</xdr:rowOff>
        </xdr:to>
        <xdr:sp macro="" textlink="">
          <xdr:nvSpPr>
            <xdr:cNvPr id="3121" name="PE_Diesel"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15</xdr:row>
          <xdr:rowOff>9525</xdr:rowOff>
        </xdr:from>
        <xdr:to>
          <xdr:col>2</xdr:col>
          <xdr:colOff>1409700</xdr:colOff>
          <xdr:row>16</xdr:row>
          <xdr:rowOff>9525</xdr:rowOff>
        </xdr:to>
        <xdr:sp macro="" textlink="">
          <xdr:nvSpPr>
            <xdr:cNvPr id="3136" name="Blending_NG"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15</xdr:row>
          <xdr:rowOff>9525</xdr:rowOff>
        </xdr:from>
        <xdr:to>
          <xdr:col>2</xdr:col>
          <xdr:colOff>3152775</xdr:colOff>
          <xdr:row>16</xdr:row>
          <xdr:rowOff>9525</xdr:rowOff>
        </xdr:to>
        <xdr:sp macro="" textlink="">
          <xdr:nvSpPr>
            <xdr:cNvPr id="3137" name="Blending_Propane"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19050</xdr:rowOff>
        </xdr:from>
        <xdr:to>
          <xdr:col>3</xdr:col>
          <xdr:colOff>9525</xdr:colOff>
          <xdr:row>36</xdr:row>
          <xdr:rowOff>66675</xdr:rowOff>
        </xdr:to>
        <xdr:sp macro="" textlink="">
          <xdr:nvSpPr>
            <xdr:cNvPr id="3139" name="Freeze_Sidebar"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16</xdr:row>
          <xdr:rowOff>9525</xdr:rowOff>
        </xdr:from>
        <xdr:to>
          <xdr:col>2</xdr:col>
          <xdr:colOff>1400175</xdr:colOff>
          <xdr:row>17</xdr:row>
          <xdr:rowOff>9525</xdr:rowOff>
        </xdr:to>
        <xdr:sp macro="" textlink="">
          <xdr:nvSpPr>
            <xdr:cNvPr id="3142" name="FF_CNG"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16</xdr:row>
          <xdr:rowOff>9525</xdr:rowOff>
        </xdr:from>
        <xdr:to>
          <xdr:col>3</xdr:col>
          <xdr:colOff>47625</xdr:colOff>
          <xdr:row>17</xdr:row>
          <xdr:rowOff>9525</xdr:rowOff>
        </xdr:to>
        <xdr:sp macro="" textlink="">
          <xdr:nvSpPr>
            <xdr:cNvPr id="3145" name="FF_LNG"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16</xdr:row>
          <xdr:rowOff>228600</xdr:rowOff>
        </xdr:from>
        <xdr:to>
          <xdr:col>2</xdr:col>
          <xdr:colOff>1562100</xdr:colOff>
          <xdr:row>17</xdr:row>
          <xdr:rowOff>228600</xdr:rowOff>
        </xdr:to>
        <xdr:sp macro="" textlink="">
          <xdr:nvSpPr>
            <xdr:cNvPr id="3163" name="FF_LCNG"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10</xdr:row>
          <xdr:rowOff>228600</xdr:rowOff>
        </xdr:from>
        <xdr:to>
          <xdr:col>2</xdr:col>
          <xdr:colOff>1428750</xdr:colOff>
          <xdr:row>11</xdr:row>
          <xdr:rowOff>228600</xdr:rowOff>
        </xdr:to>
        <xdr:sp macro="" textlink="">
          <xdr:nvSpPr>
            <xdr:cNvPr id="3165" name="Feedstock_FS"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10</xdr:row>
          <xdr:rowOff>0</xdr:rowOff>
        </xdr:from>
        <xdr:to>
          <xdr:col>2</xdr:col>
          <xdr:colOff>1828800</xdr:colOff>
          <xdr:row>11</xdr:row>
          <xdr:rowOff>0</xdr:rowOff>
        </xdr:to>
        <xdr:sp macro="" textlink="">
          <xdr:nvSpPr>
            <xdr:cNvPr id="3166" name="Feedstock_ULW"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11</xdr:row>
          <xdr:rowOff>0</xdr:rowOff>
        </xdr:from>
        <xdr:to>
          <xdr:col>3</xdr:col>
          <xdr:colOff>9525</xdr:colOff>
          <xdr:row>12</xdr:row>
          <xdr:rowOff>0</xdr:rowOff>
        </xdr:to>
        <xdr:sp macro="" textlink="">
          <xdr:nvSpPr>
            <xdr:cNvPr id="3167" name="Feedstock_OOW"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133350</xdr:colOff>
      <xdr:row>10</xdr:row>
      <xdr:rowOff>0</xdr:rowOff>
    </xdr:from>
    <xdr:to>
      <xdr:col>2</xdr:col>
      <xdr:colOff>1238250</xdr:colOff>
      <xdr:row>10</xdr:row>
      <xdr:rowOff>214593</xdr:rowOff>
    </xdr:to>
    <xdr:sp macro="" textlink="">
      <xdr:nvSpPr>
        <xdr:cNvPr id="3" name="CI_Composite" hidden="1">
          <a:extLst>
            <a:ext uri="{63B3BB69-23CF-44E3-9099-C40C66FF867C}">
              <a14:compatExt xmlns:a14="http://schemas.microsoft.com/office/drawing/2010/main" spid="_x0000_s3169"/>
            </a:ext>
            <a:ext uri="{FF2B5EF4-FFF2-40B4-BE49-F238E27FC236}">
              <a16:creationId xmlns:a16="http://schemas.microsoft.com/office/drawing/2014/main" id="{00000000-0008-0000-0100-000003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1285875</xdr:colOff>
      <xdr:row>10</xdr:row>
      <xdr:rowOff>0</xdr:rowOff>
    </xdr:from>
    <xdr:to>
      <xdr:col>2</xdr:col>
      <xdr:colOff>2370533</xdr:colOff>
      <xdr:row>10</xdr:row>
      <xdr:rowOff>214593</xdr:rowOff>
    </xdr:to>
    <xdr:sp macro="" textlink="">
      <xdr:nvSpPr>
        <xdr:cNvPr id="4" name="CI_Allocated" hidden="1">
          <a:extLst>
            <a:ext uri="{63B3BB69-23CF-44E3-9099-C40C66FF867C}">
              <a14:compatExt xmlns:a14="http://schemas.microsoft.com/office/drawing/2010/main" spid="_x0000_s3170"/>
            </a:ext>
            <a:ext uri="{FF2B5EF4-FFF2-40B4-BE49-F238E27FC236}">
              <a16:creationId xmlns:a16="http://schemas.microsoft.com/office/drawing/2014/main" id="{00000000-0008-0000-0100-00000400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95250</xdr:colOff>
          <xdr:row>13</xdr:row>
          <xdr:rowOff>228600</xdr:rowOff>
        </xdr:from>
        <xdr:to>
          <xdr:col>2</xdr:col>
          <xdr:colOff>1781175</xdr:colOff>
          <xdr:row>14</xdr:row>
          <xdr:rowOff>228600</xdr:rowOff>
        </xdr:to>
        <xdr:sp macro="" textlink="">
          <xdr:nvSpPr>
            <xdr:cNvPr id="3171" name="PE_Low_CI_E"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14</xdr:row>
          <xdr:rowOff>0</xdr:rowOff>
        </xdr:from>
        <xdr:to>
          <xdr:col>2</xdr:col>
          <xdr:colOff>3152775</xdr:colOff>
          <xdr:row>15</xdr:row>
          <xdr:rowOff>0</xdr:rowOff>
        </xdr:to>
        <xdr:sp macro="" textlink="">
          <xdr:nvSpPr>
            <xdr:cNvPr id="3172" name="PE_Biogas"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1895475</xdr:colOff>
          <xdr:row>10</xdr:row>
          <xdr:rowOff>9525</xdr:rowOff>
        </xdr:from>
        <xdr:to>
          <xdr:col>2</xdr:col>
          <xdr:colOff>3152775</xdr:colOff>
          <xdr:row>11</xdr:row>
          <xdr:rowOff>9525</xdr:rowOff>
        </xdr:to>
        <xdr:sp macro="" textlink="">
          <xdr:nvSpPr>
            <xdr:cNvPr id="3175" name="Feedstock_MSW"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2</xdr:col>
      <xdr:colOff>2367170</xdr:colOff>
      <xdr:row>0</xdr:row>
      <xdr:rowOff>352474</xdr:rowOff>
    </xdr:to>
    <xdr:pic>
      <xdr:nvPicPr>
        <xdr:cNvPr id="2" name="Picture 1">
          <a:extLst>
            <a:ext uri="{FF2B5EF4-FFF2-40B4-BE49-F238E27FC236}">
              <a16:creationId xmlns:a16="http://schemas.microsoft.com/office/drawing/2014/main" id="{921FA180-4043-4BC2-A4E0-16EA14D69705}"/>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8353425" cy="468077"/>
    <xdr:sp macro="" textlink="">
      <xdr:nvSpPr>
        <xdr:cNvPr id="5" name="TextBox 4">
          <a:extLst>
            <a:ext uri="{FF2B5EF4-FFF2-40B4-BE49-F238E27FC236}">
              <a16:creationId xmlns:a16="http://schemas.microsoft.com/office/drawing/2014/main" id="{4F056C88-B77C-41FE-8C83-97A56064F83D}"/>
            </a:ext>
          </a:extLst>
        </xdr:cNvPr>
        <xdr:cNvSpPr txBox="1"/>
      </xdr:nvSpPr>
      <xdr:spPr>
        <a:xfrm>
          <a:off x="285750"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organic waste feedstock, biogas collection, process energy use, tail gas, fossil fuel blending, and pipeline injection data.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1621668</xdr:colOff>
      <xdr:row>0</xdr:row>
      <xdr:rowOff>352474</xdr:rowOff>
    </xdr:to>
    <xdr:pic>
      <xdr:nvPicPr>
        <xdr:cNvPr id="2" name="Picture 1">
          <a:extLst>
            <a:ext uri="{FF2B5EF4-FFF2-40B4-BE49-F238E27FC236}">
              <a16:creationId xmlns:a16="http://schemas.microsoft.com/office/drawing/2014/main" id="{3865D3C0-EE59-9920-941A-DE2AA0278839}"/>
            </a:ext>
          </a:extLst>
        </xdr:cNvPr>
        <xdr:cNvPicPr>
          <a:picLocks noChangeAspect="1"/>
        </xdr:cNvPicPr>
      </xdr:nvPicPr>
      <xdr:blipFill>
        <a:blip xmlns:r="http://schemas.openxmlformats.org/officeDocument/2006/relationships" r:embed="rId1"/>
        <a:stretch>
          <a:fillRect/>
        </a:stretch>
      </xdr:blipFill>
      <xdr:spPr>
        <a:xfrm>
          <a:off x="616324" y="0"/>
          <a:ext cx="5277587" cy="352474"/>
        </a:xfrm>
        <a:prstGeom prst="rect">
          <a:avLst/>
        </a:prstGeom>
      </xdr:spPr>
    </xdr:pic>
    <xdr:clientData/>
  </xdr:twoCellAnchor>
  <xdr:oneCellAnchor>
    <xdr:from>
      <xdr:col>1</xdr:col>
      <xdr:colOff>0</xdr:colOff>
      <xdr:row>1</xdr:row>
      <xdr:rowOff>0</xdr:rowOff>
    </xdr:from>
    <xdr:ext cx="8353425" cy="468077"/>
    <xdr:sp macro="" textlink="">
      <xdr:nvSpPr>
        <xdr:cNvPr id="3" name="TextBox 2">
          <a:extLst>
            <a:ext uri="{FF2B5EF4-FFF2-40B4-BE49-F238E27FC236}">
              <a16:creationId xmlns:a16="http://schemas.microsoft.com/office/drawing/2014/main" id="{636CBF93-CE84-464E-9B4C-BF3C39AA14C9}"/>
            </a:ext>
          </a:extLst>
        </xdr:cNvPr>
        <xdr:cNvSpPr txBox="1"/>
      </xdr:nvSpPr>
      <xdr:spPr>
        <a:xfrm>
          <a:off x="609600"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calculated avoided emissions from diversion of organic waste from landfilling and composting. Do not modify calculated values or reference assumptions unless directed by NMED</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554401</xdr:colOff>
      <xdr:row>30</xdr:row>
      <xdr:rowOff>170081</xdr:rowOff>
    </xdr:from>
    <xdr:to>
      <xdr:col>13</xdr:col>
      <xdr:colOff>346096</xdr:colOff>
      <xdr:row>52</xdr:row>
      <xdr:rowOff>143643</xdr:rowOff>
    </xdr:to>
    <xdr:pic>
      <xdr:nvPicPr>
        <xdr:cNvPr id="2" name="Picture 3">
          <a:extLst>
            <a:ext uri="{FF2B5EF4-FFF2-40B4-BE49-F238E27FC236}">
              <a16:creationId xmlns:a16="http://schemas.microsoft.com/office/drawing/2014/main" id="{96B73DE1-F6CE-4B1A-9DB7-1B99B0B1B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751318" y="5832164"/>
          <a:ext cx="5464361" cy="4217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1509920</xdr:colOff>
      <xdr:row>0</xdr:row>
      <xdr:rowOff>352474</xdr:rowOff>
    </xdr:to>
    <xdr:pic>
      <xdr:nvPicPr>
        <xdr:cNvPr id="3" name="Picture 2">
          <a:extLst>
            <a:ext uri="{FF2B5EF4-FFF2-40B4-BE49-F238E27FC236}">
              <a16:creationId xmlns:a16="http://schemas.microsoft.com/office/drawing/2014/main" id="{97604475-F727-5259-E21A-963B211185C3}"/>
            </a:ext>
          </a:extLst>
        </xdr:cNvPr>
        <xdr:cNvPicPr>
          <a:picLocks noChangeAspect="1"/>
        </xdr:cNvPicPr>
      </xdr:nvPicPr>
      <xdr:blipFill>
        <a:blip xmlns:r="http://schemas.openxmlformats.org/officeDocument/2006/relationships" r:embed="rId2"/>
        <a:stretch>
          <a:fillRect/>
        </a:stretch>
      </xdr:blipFill>
      <xdr:spPr>
        <a:xfrm>
          <a:off x="381000" y="0"/>
          <a:ext cx="5277587" cy="352474"/>
        </a:xfrm>
        <a:prstGeom prst="rect">
          <a:avLst/>
        </a:prstGeom>
      </xdr:spPr>
    </xdr:pic>
    <xdr:clientData/>
  </xdr:twoCellAnchor>
  <xdr:oneCellAnchor>
    <xdr:from>
      <xdr:col>1</xdr:col>
      <xdr:colOff>0</xdr:colOff>
      <xdr:row>1</xdr:row>
      <xdr:rowOff>0</xdr:rowOff>
    </xdr:from>
    <xdr:ext cx="8815917" cy="468077"/>
    <xdr:sp macro="" textlink="">
      <xdr:nvSpPr>
        <xdr:cNvPr id="4" name="TextBox 3">
          <a:extLst>
            <a:ext uri="{FF2B5EF4-FFF2-40B4-BE49-F238E27FC236}">
              <a16:creationId xmlns:a16="http://schemas.microsoft.com/office/drawing/2014/main" id="{9E935FC3-0923-40D3-91C6-43A723EB80A5}"/>
            </a:ext>
          </a:extLst>
        </xdr:cNvPr>
        <xdr:cNvSpPr txBox="1"/>
      </xdr:nvSpPr>
      <xdr:spPr>
        <a:xfrm>
          <a:off x="381000" y="381000"/>
          <a:ext cx="8815917"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global warming potentials, carbon ratios, and other reference values used in the calculator. Do not modify these values unless directed by NMED.</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mgov.sharepoint.com/sites/ENV-CTFP/Shared%20Documents/IMPL/CI%20CALC/TIER%201/T1_release_versions/t1_biomethane_manure.xlsm" TargetMode="External"/><Relationship Id="rId1" Type="http://schemas.openxmlformats.org/officeDocument/2006/relationships/externalLinkPath" Target="t1_biomethane_manur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PathwaySummary"/>
      <sheetName val="ManureToBiogas"/>
      <sheetName val="AvoidedEmissions"/>
      <sheetName val="BiogasToBiomethane"/>
      <sheetName val="Background"/>
    </sheetNames>
    <sheetDataSet>
      <sheetData sheetId="0" refreshError="1"/>
      <sheetData sheetId="1" refreshError="1"/>
      <sheetData sheetId="2">
        <row r="9">
          <cell r="B9" t="str">
            <v>-</v>
          </cell>
        </row>
      </sheetData>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7.emf"/><Relationship Id="rId18" Type="http://schemas.openxmlformats.org/officeDocument/2006/relationships/control" Target="../activeX/activeX8.xml"/><Relationship Id="rId26" Type="http://schemas.openxmlformats.org/officeDocument/2006/relationships/control" Target="../activeX/activeX12.xml"/><Relationship Id="rId3" Type="http://schemas.openxmlformats.org/officeDocument/2006/relationships/vmlDrawing" Target="../drawings/vmlDrawing1.vml"/><Relationship Id="rId21" Type="http://schemas.openxmlformats.org/officeDocument/2006/relationships/image" Target="../media/image11.emf"/><Relationship Id="rId34" Type="http://schemas.openxmlformats.org/officeDocument/2006/relationships/control" Target="../activeX/activeX16.xml"/><Relationship Id="rId7" Type="http://schemas.openxmlformats.org/officeDocument/2006/relationships/image" Target="../media/image4.emf"/><Relationship Id="rId12" Type="http://schemas.openxmlformats.org/officeDocument/2006/relationships/control" Target="../activeX/activeX5.xml"/><Relationship Id="rId17" Type="http://schemas.openxmlformats.org/officeDocument/2006/relationships/image" Target="../media/image9.emf"/><Relationship Id="rId25" Type="http://schemas.openxmlformats.org/officeDocument/2006/relationships/image" Target="../media/image13.emf"/><Relationship Id="rId33" Type="http://schemas.openxmlformats.org/officeDocument/2006/relationships/image" Target="../media/image17.emf"/><Relationship Id="rId2" Type="http://schemas.openxmlformats.org/officeDocument/2006/relationships/drawing" Target="../drawings/drawing3.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5.emf"/><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image" Target="../media/image6.emf"/><Relationship Id="rId24" Type="http://schemas.openxmlformats.org/officeDocument/2006/relationships/control" Target="../activeX/activeX11.xml"/><Relationship Id="rId32" Type="http://schemas.openxmlformats.org/officeDocument/2006/relationships/control" Target="../activeX/activeX15.xml"/><Relationship Id="rId5" Type="http://schemas.openxmlformats.org/officeDocument/2006/relationships/image" Target="../media/image3.emf"/><Relationship Id="rId15" Type="http://schemas.openxmlformats.org/officeDocument/2006/relationships/image" Target="../media/image8.emf"/><Relationship Id="rId23" Type="http://schemas.openxmlformats.org/officeDocument/2006/relationships/image" Target="../media/image12.emf"/><Relationship Id="rId28" Type="http://schemas.openxmlformats.org/officeDocument/2006/relationships/control" Target="../activeX/activeX13.xml"/><Relationship Id="rId10" Type="http://schemas.openxmlformats.org/officeDocument/2006/relationships/control" Target="../activeX/activeX4.xml"/><Relationship Id="rId19" Type="http://schemas.openxmlformats.org/officeDocument/2006/relationships/image" Target="../media/image10.emf"/><Relationship Id="rId31" Type="http://schemas.openxmlformats.org/officeDocument/2006/relationships/image" Target="../media/image16.emf"/><Relationship Id="rId4" Type="http://schemas.openxmlformats.org/officeDocument/2006/relationships/control" Target="../activeX/activeX1.xml"/><Relationship Id="rId9" Type="http://schemas.openxmlformats.org/officeDocument/2006/relationships/image" Target="../media/image5.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4.emf"/><Relationship Id="rId30" Type="http://schemas.openxmlformats.org/officeDocument/2006/relationships/control" Target="../activeX/activeX14.xml"/><Relationship Id="rId35" Type="http://schemas.openxmlformats.org/officeDocument/2006/relationships/image" Target="../media/image18.emf"/><Relationship Id="rId8"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epa.gov/sites/default/files/2020-12/documents/warm_management_practices_v15_10-29-2020.pdf" TargetMode="External"/><Relationship Id="rId2" Type="http://schemas.openxmlformats.org/officeDocument/2006/relationships/hyperlink" Target="https://calrecycle.ca.gov/wcs/dbstudy/" TargetMode="External"/><Relationship Id="rId1" Type="http://schemas.openxmlformats.org/officeDocument/2006/relationships/hyperlink" Target="https://ww2.arb.ca.gov/sites/default/files/classic/cc/waste/cerffinal.pdf"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2.arb.ca.gov/resources/documents/lcfs-life-cycle-analysis-models-and-documentation"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D11A-CFEC-4424-8AB7-DF1A276FDB8A}">
  <sheetPr codeName="Introduction">
    <tabColor rgb="FF2798A9"/>
  </sheetPr>
  <dimension ref="A1:AR100"/>
  <sheetViews>
    <sheetView showGridLines="0" topLeftCell="A4" workbookViewId="0">
      <selection activeCell="I6" sqref="I6"/>
    </sheetView>
  </sheetViews>
  <sheetFormatPr defaultColWidth="20.7109375" defaultRowHeight="15" x14ac:dyDescent="0.25"/>
  <cols>
    <col min="1" max="1" width="4.7109375" style="307" customWidth="1"/>
    <col min="2" max="2" width="10.7109375" style="307" customWidth="1"/>
    <col min="3" max="3" width="40.7109375" style="307" customWidth="1"/>
    <col min="4" max="4" width="28.7109375" style="307" customWidth="1"/>
    <col min="5" max="5" width="20.7109375" style="307" customWidth="1"/>
    <col min="6" max="6" width="54.28515625" style="307" customWidth="1"/>
    <col min="7" max="7" width="40.7109375" style="307" customWidth="1"/>
    <col min="8" max="8" width="10.7109375" style="307" customWidth="1"/>
    <col min="9" max="9" width="255.7109375" style="307" customWidth="1"/>
    <col min="10" max="10" width="62.140625" style="307" customWidth="1"/>
    <col min="11" max="11" width="39.85546875" style="310" customWidth="1"/>
    <col min="12" max="12" width="61.140625" style="307" customWidth="1"/>
    <col min="13" max="13" width="50.28515625" style="307" customWidth="1"/>
    <col min="14" max="14" width="28.5703125" style="307" customWidth="1"/>
    <col min="15" max="15" width="34" style="307" bestFit="1" customWidth="1"/>
    <col min="16" max="16" width="19.140625" style="307" customWidth="1"/>
    <col min="17" max="17" width="19.28515625" style="307" customWidth="1"/>
    <col min="18" max="18" width="14.42578125" style="307" customWidth="1"/>
    <col min="19" max="19" width="23.85546875" style="307" customWidth="1"/>
    <col min="20" max="20" width="17.85546875" style="307" customWidth="1"/>
    <col min="21" max="21" width="25.140625" style="307" customWidth="1"/>
    <col min="22" max="22" width="14.85546875" style="307" customWidth="1"/>
    <col min="23" max="23" width="15.28515625" style="307" customWidth="1"/>
    <col min="24" max="24" width="24.42578125" style="307" customWidth="1"/>
    <col min="25" max="25" width="18.5703125" style="307" bestFit="1" customWidth="1"/>
    <col min="26" max="26" width="18.5703125" style="307" customWidth="1"/>
    <col min="27" max="28" width="12.42578125" style="307" customWidth="1"/>
    <col min="29" max="29" width="29" style="307" customWidth="1"/>
    <col min="30" max="30" width="23.5703125" style="307" customWidth="1"/>
    <col min="31" max="31" width="19.42578125" style="307" customWidth="1"/>
    <col min="32" max="16384" width="20.7109375" style="307"/>
  </cols>
  <sheetData>
    <row r="1" spans="1:44" ht="20.100000000000001" customHeight="1" x14ac:dyDescent="0.25">
      <c r="A1" s="305"/>
      <c r="B1" s="305"/>
      <c r="C1" s="305"/>
      <c r="D1" s="305"/>
      <c r="E1" s="305"/>
      <c r="F1" s="305"/>
      <c r="G1" s="305"/>
      <c r="H1" s="305"/>
      <c r="I1" s="303"/>
      <c r="J1" s="303"/>
      <c r="K1" s="304"/>
      <c r="L1" s="304"/>
      <c r="M1" s="304"/>
      <c r="N1" s="305"/>
      <c r="O1" s="305"/>
      <c r="P1" s="305"/>
      <c r="Q1" s="305"/>
      <c r="R1" s="305"/>
      <c r="S1" s="306"/>
      <c r="T1" s="306"/>
      <c r="U1" s="306"/>
      <c r="V1" s="306"/>
      <c r="W1" s="306"/>
      <c r="X1" s="306"/>
      <c r="Y1" s="306"/>
      <c r="Z1" s="306"/>
      <c r="AA1" s="306"/>
      <c r="AB1" s="306"/>
      <c r="AC1" s="306"/>
      <c r="AD1" s="306"/>
      <c r="AE1" s="306"/>
      <c r="AF1" s="306"/>
      <c r="AG1" s="306"/>
      <c r="AH1" s="306"/>
      <c r="AI1" s="306"/>
      <c r="AJ1" s="306"/>
      <c r="AK1" s="306"/>
      <c r="AL1" s="306"/>
      <c r="AM1" s="306"/>
      <c r="AN1" s="306"/>
      <c r="AO1" s="305"/>
      <c r="AP1" s="305"/>
      <c r="AQ1" s="305"/>
      <c r="AR1" s="305"/>
    </row>
    <row r="2" spans="1:44" ht="107.25" customHeight="1" x14ac:dyDescent="0.25">
      <c r="A2" s="305"/>
      <c r="B2" s="435"/>
      <c r="C2" s="436"/>
      <c r="D2" s="436"/>
      <c r="E2" s="436"/>
      <c r="F2" s="436"/>
      <c r="G2" s="436"/>
      <c r="H2" s="437"/>
      <c r="I2" s="305"/>
      <c r="J2" s="305"/>
      <c r="K2" s="304"/>
      <c r="L2" s="305"/>
      <c r="M2" s="305"/>
      <c r="N2" s="305"/>
      <c r="O2" s="305"/>
      <c r="P2" s="305"/>
      <c r="Q2" s="305"/>
      <c r="R2" s="305"/>
      <c r="S2" s="306"/>
      <c r="T2" s="306"/>
      <c r="U2" s="306"/>
      <c r="V2" s="306"/>
      <c r="W2" s="306"/>
      <c r="X2" s="306"/>
      <c r="Y2" s="306"/>
      <c r="Z2" s="306"/>
      <c r="AA2" s="306"/>
      <c r="AB2" s="306"/>
      <c r="AC2" s="306"/>
      <c r="AD2" s="306"/>
      <c r="AE2" s="306"/>
      <c r="AF2" s="306"/>
      <c r="AG2" s="306"/>
      <c r="AH2" s="306"/>
      <c r="AI2" s="306"/>
      <c r="AJ2" s="306"/>
      <c r="AK2" s="306"/>
      <c r="AL2" s="306"/>
      <c r="AM2" s="306"/>
      <c r="AN2" s="306"/>
      <c r="AO2" s="305"/>
      <c r="AP2" s="305"/>
      <c r="AQ2" s="305"/>
      <c r="AR2" s="305"/>
    </row>
    <row r="3" spans="1:44" ht="50.25" customHeight="1" x14ac:dyDescent="0.25">
      <c r="A3" s="305"/>
      <c r="B3" s="98"/>
      <c r="C3" s="430" t="s">
        <v>332</v>
      </c>
      <c r="D3" s="430"/>
      <c r="E3" s="430"/>
      <c r="F3" s="430"/>
      <c r="G3" s="430"/>
      <c r="H3" s="99"/>
      <c r="I3" s="305"/>
      <c r="J3" s="305"/>
      <c r="K3" s="304"/>
      <c r="L3" s="305"/>
      <c r="M3" s="305"/>
      <c r="N3" s="305"/>
      <c r="O3" s="305"/>
      <c r="P3" s="305"/>
      <c r="Q3" s="305"/>
      <c r="R3" s="305"/>
      <c r="S3" s="306"/>
      <c r="T3" s="306"/>
      <c r="U3" s="306"/>
      <c r="V3" s="306"/>
      <c r="W3" s="306"/>
      <c r="X3" s="306"/>
      <c r="Y3" s="306"/>
      <c r="Z3" s="306"/>
      <c r="AA3" s="306"/>
      <c r="AB3" s="306"/>
      <c r="AC3" s="306"/>
      <c r="AD3" s="306"/>
      <c r="AE3" s="306"/>
      <c r="AF3" s="306"/>
      <c r="AG3" s="306"/>
      <c r="AH3" s="306"/>
      <c r="AI3" s="306"/>
      <c r="AJ3" s="306"/>
      <c r="AK3" s="306"/>
      <c r="AL3" s="306"/>
      <c r="AM3" s="306"/>
      <c r="AN3" s="306"/>
      <c r="AO3" s="305"/>
      <c r="AP3" s="305"/>
      <c r="AQ3" s="305"/>
      <c r="AR3" s="305"/>
    </row>
    <row r="4" spans="1:44" ht="294" customHeight="1" x14ac:dyDescent="0.25">
      <c r="A4" s="305"/>
      <c r="B4" s="98"/>
      <c r="C4" s="431" t="s">
        <v>328</v>
      </c>
      <c r="D4" s="431"/>
      <c r="E4" s="431"/>
      <c r="F4" s="431"/>
      <c r="G4" s="431"/>
      <c r="H4" s="99"/>
      <c r="I4" s="305"/>
      <c r="J4" s="305"/>
      <c r="K4" s="304"/>
      <c r="L4" s="305"/>
      <c r="M4" s="305"/>
      <c r="N4" s="305"/>
      <c r="O4" s="305"/>
      <c r="P4" s="305"/>
      <c r="Q4" s="305"/>
      <c r="R4" s="305"/>
      <c r="S4" s="306"/>
      <c r="T4" s="306"/>
      <c r="U4" s="306"/>
      <c r="V4" s="306"/>
      <c r="W4" s="306"/>
      <c r="X4" s="306"/>
      <c r="Y4" s="306"/>
      <c r="Z4" s="306"/>
      <c r="AA4" s="306"/>
      <c r="AB4" s="306"/>
      <c r="AC4" s="306"/>
      <c r="AD4" s="306"/>
      <c r="AE4" s="306"/>
      <c r="AF4" s="306"/>
      <c r="AG4" s="306"/>
      <c r="AH4" s="306"/>
      <c r="AI4" s="306"/>
      <c r="AJ4" s="306"/>
      <c r="AK4" s="306"/>
      <c r="AL4" s="306"/>
      <c r="AM4" s="306"/>
      <c r="AN4" s="306"/>
      <c r="AO4" s="305"/>
      <c r="AP4" s="305"/>
      <c r="AQ4" s="305"/>
      <c r="AR4" s="305"/>
    </row>
    <row r="5" spans="1:44" ht="21" x14ac:dyDescent="0.25">
      <c r="A5" s="305"/>
      <c r="B5" s="438"/>
      <c r="C5" s="439"/>
      <c r="D5" s="194" t="s">
        <v>0</v>
      </c>
      <c r="E5" s="440"/>
      <c r="F5" s="194" t="s">
        <v>1</v>
      </c>
      <c r="G5" s="441"/>
      <c r="H5" s="442"/>
      <c r="I5" s="305"/>
      <c r="J5" s="305"/>
      <c r="K5" s="304"/>
      <c r="L5" s="305"/>
      <c r="M5" s="305"/>
      <c r="N5" s="305"/>
      <c r="O5" s="305"/>
      <c r="P5" s="305"/>
      <c r="Q5" s="305"/>
      <c r="R5" s="305"/>
      <c r="S5" s="306"/>
      <c r="T5" s="306"/>
      <c r="U5" s="306"/>
      <c r="V5" s="306"/>
      <c r="W5" s="306"/>
      <c r="X5" s="306"/>
      <c r="Y5" s="306"/>
      <c r="Z5" s="306"/>
      <c r="AA5" s="306"/>
      <c r="AB5" s="306"/>
      <c r="AC5" s="306"/>
      <c r="AD5" s="306"/>
      <c r="AE5" s="306"/>
      <c r="AF5" s="306"/>
      <c r="AG5" s="306"/>
      <c r="AH5" s="306"/>
      <c r="AI5" s="306"/>
      <c r="AJ5" s="306"/>
      <c r="AK5" s="306"/>
      <c r="AL5" s="306"/>
      <c r="AM5" s="306"/>
      <c r="AN5" s="306"/>
      <c r="AO5" s="305"/>
      <c r="AP5" s="305"/>
      <c r="AQ5" s="305"/>
      <c r="AR5" s="305"/>
    </row>
    <row r="6" spans="1:44" ht="21" x14ac:dyDescent="0.25">
      <c r="A6" s="305"/>
      <c r="B6" s="438"/>
      <c r="C6" s="439"/>
      <c r="D6" s="195" t="s">
        <v>2</v>
      </c>
      <c r="E6" s="440"/>
      <c r="F6" s="110" t="s">
        <v>3</v>
      </c>
      <c r="G6" s="441"/>
      <c r="H6" s="442"/>
      <c r="I6" s="305"/>
      <c r="J6" s="305"/>
      <c r="K6" s="304"/>
      <c r="L6" s="305"/>
      <c r="M6" s="305"/>
      <c r="N6" s="305"/>
      <c r="O6" s="305"/>
      <c r="P6" s="305"/>
      <c r="Q6" s="305"/>
      <c r="R6" s="305"/>
      <c r="S6" s="306"/>
      <c r="T6" s="306"/>
      <c r="U6" s="306"/>
      <c r="V6" s="306"/>
      <c r="W6" s="306"/>
      <c r="X6" s="306"/>
      <c r="Y6" s="306"/>
      <c r="Z6" s="306"/>
      <c r="AA6" s="306"/>
      <c r="AB6" s="306"/>
      <c r="AC6" s="306"/>
      <c r="AD6" s="306"/>
      <c r="AE6" s="306"/>
      <c r="AF6" s="306"/>
      <c r="AG6" s="306"/>
      <c r="AH6" s="306"/>
      <c r="AI6" s="306"/>
      <c r="AJ6" s="306"/>
      <c r="AK6" s="306"/>
      <c r="AL6" s="306"/>
      <c r="AM6" s="306"/>
      <c r="AN6" s="306"/>
      <c r="AO6" s="305"/>
      <c r="AP6" s="305"/>
      <c r="AQ6" s="305"/>
      <c r="AR6" s="305"/>
    </row>
    <row r="7" spans="1:44" ht="21" x14ac:dyDescent="0.25">
      <c r="A7" s="305"/>
      <c r="B7" s="438"/>
      <c r="C7" s="439"/>
      <c r="D7" s="302" t="s">
        <v>4</v>
      </c>
      <c r="E7" s="440"/>
      <c r="F7" s="192" t="s">
        <v>5</v>
      </c>
      <c r="G7" s="441"/>
      <c r="H7" s="442"/>
      <c r="I7" s="305"/>
      <c r="J7" s="305"/>
      <c r="K7" s="304"/>
      <c r="L7" s="305"/>
      <c r="M7" s="305"/>
      <c r="N7" s="305"/>
      <c r="O7" s="305"/>
      <c r="P7" s="305"/>
      <c r="Q7" s="305"/>
      <c r="R7" s="305"/>
      <c r="S7" s="306"/>
      <c r="T7" s="306"/>
      <c r="U7" s="306"/>
      <c r="V7" s="306"/>
      <c r="W7" s="306"/>
      <c r="X7" s="306"/>
      <c r="Y7" s="306"/>
      <c r="Z7" s="306"/>
      <c r="AA7" s="306"/>
      <c r="AB7" s="306"/>
      <c r="AC7" s="306"/>
      <c r="AD7" s="306"/>
      <c r="AE7" s="306"/>
      <c r="AF7" s="306"/>
      <c r="AG7" s="306"/>
      <c r="AH7" s="306"/>
      <c r="AI7" s="306"/>
      <c r="AJ7" s="306"/>
      <c r="AK7" s="306"/>
      <c r="AL7" s="306"/>
      <c r="AM7" s="306"/>
      <c r="AN7" s="306"/>
      <c r="AO7" s="305"/>
      <c r="AP7" s="305"/>
      <c r="AQ7" s="305"/>
      <c r="AR7" s="305"/>
    </row>
    <row r="8" spans="1:44" ht="21" x14ac:dyDescent="0.25">
      <c r="A8" s="305"/>
      <c r="B8" s="438"/>
      <c r="C8" s="439"/>
      <c r="D8" s="196" t="s">
        <v>329</v>
      </c>
      <c r="E8" s="440"/>
      <c r="F8" s="192" t="s">
        <v>6</v>
      </c>
      <c r="G8" s="441"/>
      <c r="H8" s="442"/>
      <c r="I8" s="305"/>
      <c r="J8" s="305"/>
      <c r="K8" s="304"/>
      <c r="L8" s="305"/>
      <c r="M8" s="305"/>
      <c r="N8" s="305"/>
      <c r="O8" s="305"/>
      <c r="P8" s="305"/>
      <c r="Q8" s="305"/>
      <c r="R8" s="305"/>
      <c r="S8" s="306"/>
      <c r="T8" s="306"/>
      <c r="U8" s="306"/>
      <c r="V8" s="306"/>
      <c r="W8" s="306"/>
      <c r="X8" s="306"/>
      <c r="Y8" s="306"/>
      <c r="Z8" s="306"/>
      <c r="AA8" s="306"/>
      <c r="AB8" s="306"/>
      <c r="AC8" s="306"/>
      <c r="AD8" s="306"/>
      <c r="AE8" s="306"/>
      <c r="AF8" s="306"/>
      <c r="AG8" s="306"/>
      <c r="AH8" s="306"/>
      <c r="AI8" s="306"/>
      <c r="AJ8" s="306"/>
      <c r="AK8" s="306"/>
      <c r="AL8" s="306"/>
      <c r="AM8" s="306"/>
      <c r="AN8" s="306"/>
      <c r="AO8" s="305"/>
      <c r="AP8" s="305"/>
      <c r="AQ8" s="305"/>
      <c r="AR8" s="305"/>
    </row>
    <row r="9" spans="1:44" ht="21" x14ac:dyDescent="0.25">
      <c r="A9" s="305"/>
      <c r="B9" s="190"/>
      <c r="C9" s="27"/>
      <c r="D9" s="197" t="s">
        <v>330</v>
      </c>
      <c r="E9" s="148"/>
      <c r="F9" s="193"/>
      <c r="G9" s="193"/>
      <c r="H9" s="191"/>
      <c r="I9" s="305"/>
      <c r="J9" s="305"/>
      <c r="K9" s="304"/>
      <c r="L9" s="305"/>
      <c r="M9" s="305"/>
      <c r="N9" s="305"/>
      <c r="O9" s="305"/>
      <c r="P9" s="305"/>
      <c r="Q9" s="305"/>
      <c r="R9" s="305"/>
      <c r="S9" s="306"/>
      <c r="T9" s="306"/>
      <c r="U9" s="306"/>
      <c r="V9" s="306"/>
      <c r="W9" s="306"/>
      <c r="X9" s="306"/>
      <c r="Y9" s="306"/>
      <c r="Z9" s="306"/>
      <c r="AA9" s="306"/>
      <c r="AB9" s="306"/>
      <c r="AC9" s="306"/>
      <c r="AD9" s="306"/>
      <c r="AE9" s="306"/>
      <c r="AF9" s="306"/>
      <c r="AG9" s="306"/>
      <c r="AH9" s="306"/>
      <c r="AI9" s="306"/>
      <c r="AJ9" s="306"/>
      <c r="AK9" s="306"/>
      <c r="AL9" s="306"/>
      <c r="AM9" s="306"/>
      <c r="AN9" s="306"/>
      <c r="AO9" s="305"/>
      <c r="AP9" s="305"/>
      <c r="AQ9" s="305"/>
      <c r="AR9" s="305"/>
    </row>
    <row r="10" spans="1:44" s="310" customFormat="1" ht="24" customHeight="1" x14ac:dyDescent="0.25">
      <c r="A10" s="308"/>
      <c r="B10" s="432"/>
      <c r="C10" s="433"/>
      <c r="D10" s="433"/>
      <c r="E10" s="433"/>
      <c r="F10" s="433"/>
      <c r="G10" s="433"/>
      <c r="H10" s="434"/>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9"/>
      <c r="AM10" s="308"/>
      <c r="AN10" s="308"/>
      <c r="AO10" s="308"/>
      <c r="AP10" s="308"/>
      <c r="AQ10" s="308"/>
      <c r="AR10" s="308"/>
    </row>
    <row r="11" spans="1:44" s="310" customFormat="1" ht="408.95" customHeight="1" x14ac:dyDescent="0.25">
      <c r="A11" s="308"/>
      <c r="B11" s="308"/>
      <c r="C11" s="308"/>
      <c r="D11" s="308"/>
      <c r="E11" s="308"/>
      <c r="F11" s="308"/>
      <c r="G11" s="308"/>
      <c r="H11" s="371"/>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9"/>
      <c r="AM11" s="308"/>
      <c r="AN11" s="308"/>
      <c r="AO11" s="308"/>
      <c r="AP11" s="308"/>
      <c r="AQ11" s="308"/>
      <c r="AR11" s="308"/>
    </row>
    <row r="12" spans="1:44" s="310" customFormat="1" x14ac:dyDescent="0.25">
      <c r="A12" s="308"/>
      <c r="B12" s="308"/>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9"/>
      <c r="AM12" s="308"/>
      <c r="AN12" s="308"/>
      <c r="AO12" s="308"/>
      <c r="AP12" s="308"/>
      <c r="AQ12" s="308"/>
      <c r="AR12" s="308"/>
    </row>
    <row r="13" spans="1:44" s="310" customFormat="1" x14ac:dyDescent="0.25">
      <c r="A13" s="308"/>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9"/>
      <c r="AM13" s="308"/>
      <c r="AN13" s="308"/>
      <c r="AO13" s="308"/>
      <c r="AP13" s="308"/>
      <c r="AQ13" s="308"/>
      <c r="AR13" s="308"/>
    </row>
    <row r="14" spans="1:44" x14ac:dyDescent="0.25">
      <c r="A14" s="305"/>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row>
    <row r="15" spans="1:44" s="313" customFormat="1" x14ac:dyDescent="0.25">
      <c r="A15" s="305"/>
      <c r="B15" s="372"/>
      <c r="C15" s="372"/>
      <c r="D15" s="372"/>
      <c r="E15" s="373"/>
      <c r="F15" s="373"/>
      <c r="G15" s="373"/>
      <c r="H15" s="309"/>
      <c r="I15" s="309"/>
      <c r="J15" s="309"/>
      <c r="K15" s="309"/>
      <c r="L15" s="311"/>
      <c r="M15" s="311"/>
      <c r="N15" s="309"/>
      <c r="O15" s="309"/>
      <c r="P15" s="309"/>
      <c r="Q15" s="311"/>
      <c r="R15" s="309"/>
      <c r="S15" s="309"/>
      <c r="T15" s="312"/>
      <c r="U15" s="309"/>
      <c r="V15" s="309"/>
      <c r="W15" s="309"/>
      <c r="X15" s="309"/>
      <c r="Y15" s="311"/>
      <c r="Z15" s="311"/>
      <c r="AA15" s="309"/>
      <c r="AB15" s="309"/>
      <c r="AC15" s="309"/>
      <c r="AD15" s="309"/>
      <c r="AE15" s="309"/>
      <c r="AF15" s="309"/>
      <c r="AG15" s="309"/>
      <c r="AH15" s="309"/>
      <c r="AI15" s="309"/>
      <c r="AJ15" s="309"/>
      <c r="AK15" s="309"/>
      <c r="AL15" s="305"/>
      <c r="AM15" s="305"/>
      <c r="AN15" s="305"/>
      <c r="AO15" s="305"/>
      <c r="AP15" s="305"/>
      <c r="AQ15" s="305"/>
      <c r="AR15" s="305"/>
    </row>
    <row r="16" spans="1:44" s="313" customFormat="1" ht="21" x14ac:dyDescent="0.25">
      <c r="A16" s="305"/>
      <c r="B16" s="314"/>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5"/>
      <c r="AO16" s="305"/>
      <c r="AP16" s="305"/>
      <c r="AQ16" s="305"/>
      <c r="AR16" s="305"/>
    </row>
    <row r="17" spans="1:44" s="313" customFormat="1" x14ac:dyDescent="0.25">
      <c r="A17" s="305"/>
      <c r="B17" s="305"/>
      <c r="C17" s="305"/>
      <c r="D17" s="305"/>
      <c r="E17" s="305"/>
      <c r="F17" s="305"/>
      <c r="G17" s="305"/>
      <c r="H17" s="305"/>
      <c r="I17" s="305"/>
      <c r="J17" s="305"/>
      <c r="K17" s="305"/>
      <c r="L17" s="305"/>
      <c r="M17" s="305"/>
      <c r="N17" s="305"/>
      <c r="O17" s="305"/>
      <c r="P17" s="305"/>
      <c r="Q17" s="316"/>
      <c r="R17" s="309"/>
      <c r="S17" s="309"/>
      <c r="T17" s="312"/>
      <c r="U17" s="309"/>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row>
    <row r="18" spans="1:44" s="313" customFormat="1" x14ac:dyDescent="0.25">
      <c r="A18" s="305"/>
      <c r="B18" s="374"/>
      <c r="C18" s="374"/>
      <c r="D18" s="374"/>
      <c r="E18" s="373"/>
      <c r="F18" s="373"/>
      <c r="G18" s="373"/>
      <c r="H18" s="317"/>
      <c r="I18" s="317"/>
      <c r="J18" s="317"/>
      <c r="K18" s="317"/>
      <c r="L18" s="317"/>
      <c r="M18" s="317"/>
      <c r="N18" s="317"/>
      <c r="O18" s="318"/>
      <c r="P18" s="305"/>
      <c r="Q18" s="319"/>
      <c r="R18" s="319"/>
      <c r="S18" s="319"/>
      <c r="T18" s="320"/>
      <c r="U18" s="321"/>
      <c r="V18" s="305"/>
      <c r="W18" s="305"/>
      <c r="X18" s="305"/>
      <c r="Y18" s="305"/>
      <c r="Z18" s="305"/>
      <c r="AA18" s="317"/>
      <c r="AB18" s="317"/>
      <c r="AC18" s="317"/>
      <c r="AD18" s="317"/>
      <c r="AE18" s="317"/>
      <c r="AF18" s="322"/>
      <c r="AG18" s="322"/>
      <c r="AH18" s="305"/>
      <c r="AI18" s="305"/>
      <c r="AJ18" s="305"/>
      <c r="AK18" s="305"/>
      <c r="AL18" s="305"/>
      <c r="AM18" s="305"/>
      <c r="AN18" s="305"/>
      <c r="AO18" s="305"/>
      <c r="AP18" s="305"/>
      <c r="AQ18" s="305"/>
      <c r="AR18" s="305"/>
    </row>
    <row r="19" spans="1:44" s="313" customFormat="1" x14ac:dyDescent="0.25">
      <c r="A19" s="305"/>
      <c r="B19" s="375"/>
      <c r="C19" s="375"/>
      <c r="D19" s="375"/>
      <c r="E19" s="376"/>
      <c r="F19" s="376"/>
      <c r="G19" s="376"/>
      <c r="H19" s="323"/>
      <c r="I19" s="323"/>
      <c r="J19" s="323"/>
      <c r="K19" s="323"/>
      <c r="L19" s="324"/>
      <c r="M19" s="324"/>
      <c r="N19" s="324"/>
      <c r="O19" s="311"/>
      <c r="P19" s="321"/>
      <c r="Q19" s="323"/>
      <c r="R19" s="325"/>
      <c r="S19" s="323"/>
      <c r="T19" s="326"/>
      <c r="U19" s="327"/>
      <c r="V19" s="317"/>
      <c r="W19" s="317"/>
      <c r="X19" s="317"/>
      <c r="Y19" s="317"/>
      <c r="Z19" s="321"/>
      <c r="AA19" s="305"/>
      <c r="AB19" s="305"/>
      <c r="AC19" s="305"/>
      <c r="AD19" s="305"/>
      <c r="AE19" s="305"/>
      <c r="AF19" s="305"/>
      <c r="AG19" s="305"/>
      <c r="AH19" s="322"/>
      <c r="AI19" s="322"/>
      <c r="AJ19" s="322"/>
      <c r="AK19" s="322"/>
      <c r="AL19" s="322"/>
      <c r="AM19" s="322"/>
      <c r="AN19" s="305"/>
      <c r="AO19" s="305"/>
      <c r="AP19" s="305"/>
      <c r="AQ19" s="305"/>
      <c r="AR19" s="305"/>
    </row>
    <row r="20" spans="1:44" s="313" customFormat="1" x14ac:dyDescent="0.25">
      <c r="A20" s="305"/>
      <c r="B20" s="377"/>
      <c r="C20" s="377"/>
      <c r="D20" s="377"/>
      <c r="E20" s="331"/>
      <c r="F20" s="331"/>
      <c r="G20" s="331"/>
      <c r="H20" s="305"/>
      <c r="I20" s="305"/>
      <c r="J20" s="305"/>
      <c r="K20" s="323"/>
      <c r="L20" s="328"/>
      <c r="M20" s="328"/>
      <c r="N20" s="328"/>
      <c r="O20" s="329"/>
      <c r="P20" s="329"/>
      <c r="Q20" s="323"/>
      <c r="R20" s="325"/>
      <c r="S20" s="323"/>
      <c r="T20" s="326"/>
      <c r="U20" s="326"/>
      <c r="V20" s="325"/>
      <c r="W20" s="325"/>
      <c r="X20" s="325"/>
      <c r="Y20" s="330"/>
      <c r="Z20" s="330"/>
      <c r="AA20" s="305"/>
      <c r="AB20" s="305"/>
      <c r="AC20" s="305"/>
      <c r="AD20" s="305"/>
      <c r="AE20" s="305"/>
      <c r="AF20" s="305"/>
      <c r="AG20" s="305"/>
      <c r="AH20" s="331"/>
      <c r="AI20" s="325"/>
      <c r="AJ20" s="331"/>
      <c r="AK20" s="325"/>
      <c r="AL20" s="331"/>
      <c r="AM20" s="325"/>
      <c r="AN20" s="305"/>
      <c r="AO20" s="305"/>
      <c r="AP20" s="305"/>
      <c r="AQ20" s="305"/>
      <c r="AR20" s="305"/>
    </row>
    <row r="21" spans="1:44" s="313" customFormat="1" x14ac:dyDescent="0.25">
      <c r="A21" s="305"/>
      <c r="B21" s="378"/>
      <c r="C21" s="378"/>
      <c r="D21" s="378"/>
      <c r="E21" s="331"/>
      <c r="F21" s="331"/>
      <c r="G21" s="331"/>
      <c r="H21" s="305"/>
      <c r="I21" s="305"/>
      <c r="J21" s="305"/>
      <c r="K21" s="323"/>
      <c r="L21" s="328"/>
      <c r="M21" s="328"/>
      <c r="N21" s="328"/>
      <c r="O21" s="332"/>
      <c r="P21" s="332"/>
      <c r="Q21" s="323"/>
      <c r="R21" s="325"/>
      <c r="S21" s="323"/>
      <c r="T21" s="331"/>
      <c r="U21" s="326"/>
      <c r="V21" s="328"/>
      <c r="W21" s="328"/>
      <c r="X21" s="328"/>
      <c r="Y21" s="333"/>
      <c r="Z21" s="333"/>
      <c r="AA21" s="305"/>
      <c r="AB21" s="305"/>
      <c r="AC21" s="305"/>
      <c r="AD21" s="305"/>
      <c r="AE21" s="305"/>
      <c r="AF21" s="305"/>
      <c r="AG21" s="305"/>
      <c r="AH21" s="331"/>
      <c r="AI21" s="334"/>
      <c r="AJ21" s="331"/>
      <c r="AK21" s="334"/>
      <c r="AL21" s="331"/>
      <c r="AM21" s="334"/>
      <c r="AN21" s="305"/>
      <c r="AO21" s="305"/>
      <c r="AP21" s="305"/>
      <c r="AQ21" s="305"/>
      <c r="AR21" s="305"/>
    </row>
    <row r="22" spans="1:44" s="313" customFormat="1" x14ac:dyDescent="0.25">
      <c r="A22" s="305"/>
      <c r="B22" s="378"/>
      <c r="C22" s="378"/>
      <c r="D22" s="378"/>
      <c r="E22" s="331"/>
      <c r="F22" s="331"/>
      <c r="G22" s="331"/>
      <c r="H22" s="305"/>
      <c r="I22" s="305"/>
      <c r="J22" s="305"/>
      <c r="K22" s="323"/>
      <c r="L22" s="328"/>
      <c r="M22" s="328"/>
      <c r="N22" s="328"/>
      <c r="O22" s="332"/>
      <c r="P22" s="332"/>
      <c r="Q22" s="323"/>
      <c r="R22" s="325"/>
      <c r="S22" s="323"/>
      <c r="T22" s="335"/>
      <c r="U22" s="326"/>
      <c r="V22" s="328"/>
      <c r="W22" s="328"/>
      <c r="X22" s="328"/>
      <c r="Y22" s="333"/>
      <c r="Z22" s="333"/>
      <c r="AA22" s="305"/>
      <c r="AB22" s="305"/>
      <c r="AC22" s="305"/>
      <c r="AD22" s="305"/>
      <c r="AE22" s="305"/>
      <c r="AF22" s="305"/>
      <c r="AG22" s="305"/>
      <c r="AH22" s="331"/>
      <c r="AI22" s="334"/>
      <c r="AJ22" s="331"/>
      <c r="AK22" s="334"/>
      <c r="AL22" s="331"/>
      <c r="AM22" s="334"/>
      <c r="AN22" s="305"/>
      <c r="AO22" s="305"/>
      <c r="AP22" s="305"/>
      <c r="AQ22" s="305"/>
      <c r="AR22" s="305"/>
    </row>
    <row r="23" spans="1:44" s="313" customFormat="1" x14ac:dyDescent="0.25">
      <c r="A23" s="305"/>
      <c r="B23" s="374"/>
      <c r="C23" s="374"/>
      <c r="D23" s="374"/>
      <c r="E23" s="331"/>
      <c r="F23" s="331"/>
      <c r="G23" s="331"/>
      <c r="H23" s="305"/>
      <c r="I23" s="305"/>
      <c r="J23" s="305"/>
      <c r="K23" s="323"/>
      <c r="L23" s="328"/>
      <c r="M23" s="328"/>
      <c r="N23" s="328"/>
      <c r="O23" s="332"/>
      <c r="P23" s="332"/>
      <c r="Q23" s="327"/>
      <c r="R23" s="336"/>
      <c r="S23" s="311"/>
      <c r="T23" s="335"/>
      <c r="U23" s="326"/>
      <c r="V23" s="328"/>
      <c r="W23" s="328"/>
      <c r="X23" s="328"/>
      <c r="Y23" s="333"/>
      <c r="Z23" s="333"/>
      <c r="AA23" s="305"/>
      <c r="AB23" s="305"/>
      <c r="AC23" s="305"/>
      <c r="AD23" s="305"/>
      <c r="AE23" s="305"/>
      <c r="AF23" s="305"/>
      <c r="AG23" s="305"/>
      <c r="AH23" s="331"/>
      <c r="AI23" s="334"/>
      <c r="AJ23" s="331"/>
      <c r="AK23" s="334"/>
      <c r="AL23" s="331"/>
      <c r="AM23" s="334"/>
      <c r="AN23" s="305"/>
      <c r="AO23" s="305"/>
      <c r="AP23" s="305"/>
      <c r="AQ23" s="305"/>
      <c r="AR23" s="305"/>
    </row>
    <row r="24" spans="1:44" s="313" customFormat="1" x14ac:dyDescent="0.25">
      <c r="A24" s="305"/>
      <c r="B24" s="305"/>
      <c r="C24" s="305"/>
      <c r="D24" s="305"/>
      <c r="E24" s="305"/>
      <c r="F24" s="305"/>
      <c r="G24" s="305"/>
      <c r="H24" s="309"/>
      <c r="I24" s="309"/>
      <c r="J24" s="309"/>
      <c r="K24" s="309"/>
      <c r="L24" s="311"/>
      <c r="M24" s="311"/>
      <c r="N24" s="309"/>
      <c r="O24" s="309"/>
      <c r="P24" s="309"/>
      <c r="Q24" s="319"/>
      <c r="R24" s="319"/>
      <c r="S24" s="319"/>
      <c r="T24" s="312"/>
      <c r="U24" s="309"/>
      <c r="V24" s="309"/>
      <c r="W24" s="309"/>
      <c r="X24" s="309"/>
      <c r="Y24" s="311"/>
      <c r="Z24" s="311"/>
      <c r="AA24" s="309"/>
      <c r="AB24" s="309"/>
      <c r="AC24" s="309"/>
      <c r="AD24" s="309"/>
      <c r="AE24" s="309"/>
      <c r="AF24" s="309"/>
      <c r="AG24" s="305"/>
      <c r="AH24" s="305"/>
      <c r="AI24" s="305"/>
      <c r="AJ24" s="305"/>
      <c r="AK24" s="305"/>
      <c r="AL24" s="305"/>
      <c r="AM24" s="305"/>
      <c r="AN24" s="305"/>
      <c r="AO24" s="305"/>
      <c r="AP24" s="305"/>
      <c r="AQ24" s="305"/>
      <c r="AR24" s="305"/>
    </row>
    <row r="25" spans="1:44" s="313" customFormat="1" x14ac:dyDescent="0.25">
      <c r="A25" s="305"/>
      <c r="B25" s="305"/>
      <c r="C25" s="305"/>
      <c r="D25" s="305"/>
      <c r="E25" s="305"/>
      <c r="F25" s="305"/>
      <c r="G25" s="305"/>
      <c r="H25" s="309"/>
      <c r="I25" s="309"/>
      <c r="J25" s="309"/>
      <c r="K25" s="305"/>
      <c r="L25" s="305"/>
      <c r="M25" s="305"/>
      <c r="N25" s="309"/>
      <c r="O25" s="309"/>
      <c r="P25" s="309"/>
      <c r="Q25" s="335"/>
      <c r="R25" s="309"/>
      <c r="S25" s="326"/>
      <c r="T25" s="312"/>
      <c r="U25" s="309"/>
      <c r="V25" s="309"/>
      <c r="W25" s="309"/>
      <c r="X25" s="309"/>
      <c r="Y25" s="311"/>
      <c r="Z25" s="311"/>
      <c r="AA25" s="309"/>
      <c r="AB25" s="309"/>
      <c r="AC25" s="309"/>
      <c r="AD25" s="309"/>
      <c r="AE25" s="309"/>
      <c r="AF25" s="309"/>
      <c r="AG25" s="305"/>
      <c r="AH25" s="305"/>
      <c r="AI25" s="305"/>
      <c r="AJ25" s="305"/>
      <c r="AK25" s="305"/>
      <c r="AL25" s="305"/>
      <c r="AM25" s="305"/>
      <c r="AN25" s="305"/>
      <c r="AO25" s="305"/>
      <c r="AP25" s="305"/>
      <c r="AQ25" s="305"/>
      <c r="AR25" s="305"/>
    </row>
    <row r="26" spans="1:44" x14ac:dyDescent="0.25">
      <c r="A26" s="305"/>
      <c r="B26" s="305"/>
      <c r="C26" s="305"/>
      <c r="D26" s="305"/>
      <c r="E26" s="305"/>
      <c r="F26" s="305"/>
      <c r="G26" s="305"/>
      <c r="H26" s="308"/>
      <c r="I26" s="308"/>
      <c r="J26" s="308"/>
      <c r="K26" s="309"/>
      <c r="L26" s="311"/>
      <c r="M26" s="311"/>
      <c r="N26" s="305"/>
      <c r="O26" s="308"/>
      <c r="P26" s="305"/>
      <c r="Q26" s="337"/>
      <c r="R26" s="325"/>
      <c r="S26" s="337"/>
      <c r="T26" s="305"/>
      <c r="U26" s="305"/>
      <c r="V26" s="305"/>
      <c r="W26" s="305"/>
      <c r="X26" s="305"/>
      <c r="Y26" s="305"/>
      <c r="Z26" s="305"/>
      <c r="AA26" s="305"/>
      <c r="AB26" s="305"/>
      <c r="AC26" s="305"/>
      <c r="AD26" s="305"/>
      <c r="AE26" s="305"/>
      <c r="AF26" s="308"/>
      <c r="AG26" s="305"/>
      <c r="AH26" s="305"/>
      <c r="AI26" s="305"/>
      <c r="AJ26" s="305"/>
      <c r="AK26" s="305"/>
      <c r="AL26" s="305"/>
      <c r="AM26" s="305"/>
      <c r="AN26" s="305"/>
      <c r="AO26" s="305"/>
      <c r="AP26" s="305"/>
      <c r="AQ26" s="305"/>
      <c r="AR26" s="308"/>
    </row>
    <row r="27" spans="1:44" ht="21" x14ac:dyDescent="0.25">
      <c r="A27" s="305"/>
      <c r="B27" s="314"/>
      <c r="C27" s="314"/>
      <c r="D27" s="314"/>
      <c r="E27" s="314"/>
      <c r="F27" s="314"/>
      <c r="G27" s="314"/>
      <c r="H27" s="308"/>
      <c r="I27" s="308"/>
      <c r="J27" s="308"/>
      <c r="K27" s="338"/>
      <c r="L27" s="339"/>
      <c r="M27" s="339"/>
      <c r="N27" s="340"/>
      <c r="O27" s="308"/>
      <c r="P27" s="305"/>
      <c r="Q27" s="337"/>
      <c r="R27" s="325"/>
      <c r="S27" s="337"/>
      <c r="T27" s="305"/>
      <c r="U27" s="305"/>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row>
    <row r="28" spans="1:44" ht="21" x14ac:dyDescent="0.25">
      <c r="A28" s="305"/>
      <c r="B28" s="379"/>
      <c r="C28" s="379"/>
      <c r="D28" s="379"/>
      <c r="E28" s="380"/>
      <c r="F28" s="380"/>
      <c r="G28" s="380"/>
      <c r="H28" s="341"/>
      <c r="I28" s="341"/>
      <c r="J28" s="341"/>
      <c r="K28" s="342"/>
      <c r="L28" s="339"/>
      <c r="M28" s="339"/>
      <c r="N28" s="305"/>
      <c r="O28" s="305"/>
      <c r="P28" s="305"/>
      <c r="Q28" s="337"/>
      <c r="R28" s="325"/>
      <c r="S28" s="337"/>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row>
    <row r="29" spans="1:44" s="347" customFormat="1" x14ac:dyDescent="0.25">
      <c r="A29" s="346"/>
      <c r="B29" s="375"/>
      <c r="C29" s="375"/>
      <c r="D29" s="375"/>
      <c r="E29" s="381"/>
      <c r="F29" s="381"/>
      <c r="G29" s="381"/>
      <c r="H29" s="343"/>
      <c r="I29" s="343"/>
      <c r="J29" s="343"/>
      <c r="K29" s="344"/>
      <c r="L29" s="344"/>
      <c r="M29" s="344"/>
      <c r="N29" s="344"/>
      <c r="O29" s="344"/>
      <c r="P29" s="344"/>
      <c r="Q29" s="345"/>
      <c r="R29" s="325"/>
      <c r="S29" s="323"/>
      <c r="T29" s="346"/>
      <c r="U29" s="346"/>
      <c r="V29" s="305"/>
      <c r="W29" s="305"/>
      <c r="X29" s="305"/>
      <c r="Y29" s="305"/>
      <c r="Z29" s="305"/>
      <c r="AA29" s="346"/>
      <c r="AB29" s="346"/>
      <c r="AC29" s="346"/>
      <c r="AD29" s="346"/>
      <c r="AE29" s="346"/>
      <c r="AF29" s="346"/>
      <c r="AG29" s="346"/>
      <c r="AH29" s="346"/>
      <c r="AI29" s="346"/>
      <c r="AJ29" s="346"/>
      <c r="AK29" s="346"/>
      <c r="AL29" s="346"/>
      <c r="AM29" s="346"/>
      <c r="AN29" s="346"/>
      <c r="AO29" s="346"/>
      <c r="AP29" s="346"/>
      <c r="AQ29" s="346"/>
      <c r="AR29" s="346"/>
    </row>
    <row r="30" spans="1:44" s="347" customFormat="1" x14ac:dyDescent="0.25">
      <c r="A30" s="346"/>
      <c r="B30" s="323"/>
      <c r="C30" s="323"/>
      <c r="D30" s="323"/>
      <c r="E30" s="356"/>
      <c r="F30" s="356"/>
      <c r="G30" s="356"/>
      <c r="H30" s="343"/>
      <c r="I30" s="343"/>
      <c r="J30" s="343"/>
      <c r="K30" s="342"/>
      <c r="L30" s="339"/>
      <c r="M30" s="339"/>
      <c r="N30" s="344"/>
      <c r="O30" s="344"/>
      <c r="P30" s="344"/>
      <c r="Q30" s="344"/>
      <c r="R30" s="344"/>
      <c r="S30" s="323"/>
      <c r="T30" s="346"/>
      <c r="U30" s="346"/>
      <c r="V30" s="305"/>
      <c r="W30" s="305"/>
      <c r="X30" s="305"/>
      <c r="Y30" s="305"/>
      <c r="Z30" s="305"/>
      <c r="AA30" s="346"/>
      <c r="AB30" s="346"/>
      <c r="AC30" s="346"/>
      <c r="AD30" s="346"/>
      <c r="AE30" s="346"/>
      <c r="AF30" s="346"/>
      <c r="AG30" s="346"/>
      <c r="AH30" s="346"/>
      <c r="AI30" s="346"/>
      <c r="AJ30" s="346"/>
      <c r="AK30" s="346"/>
      <c r="AL30" s="346"/>
      <c r="AM30" s="346"/>
      <c r="AN30" s="346"/>
      <c r="AO30" s="346"/>
      <c r="AP30" s="346"/>
      <c r="AQ30" s="346"/>
      <c r="AR30" s="346"/>
    </row>
    <row r="31" spans="1:44" ht="15.75" x14ac:dyDescent="0.25">
      <c r="A31" s="305"/>
      <c r="B31" s="382"/>
      <c r="C31" s="382"/>
      <c r="D31" s="382"/>
      <c r="E31" s="383"/>
      <c r="F31" s="383"/>
      <c r="G31" s="383"/>
      <c r="H31" s="348"/>
      <c r="I31" s="348"/>
      <c r="J31" s="348"/>
      <c r="K31" s="323"/>
      <c r="L31" s="323"/>
      <c r="M31" s="323"/>
      <c r="N31" s="323"/>
      <c r="O31" s="323"/>
      <c r="P31" s="323"/>
      <c r="Q31" s="349"/>
      <c r="R31" s="323"/>
      <c r="S31" s="323"/>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5"/>
      <c r="AQ31" s="305"/>
      <c r="AR31" s="305"/>
    </row>
    <row r="32" spans="1:44" ht="15.75" x14ac:dyDescent="0.25">
      <c r="A32" s="305"/>
      <c r="B32" s="384"/>
      <c r="C32" s="384"/>
      <c r="D32" s="384"/>
      <c r="E32" s="383"/>
      <c r="F32" s="383"/>
      <c r="G32" s="383"/>
      <c r="H32" s="348"/>
      <c r="I32" s="348"/>
      <c r="J32" s="348"/>
      <c r="K32" s="323"/>
      <c r="L32" s="323"/>
      <c r="M32" s="323"/>
      <c r="N32" s="323"/>
      <c r="O32" s="323"/>
      <c r="P32" s="323"/>
      <c r="Q32" s="350"/>
      <c r="R32" s="323"/>
      <c r="S32" s="323"/>
      <c r="T32" s="305"/>
      <c r="U32" s="305"/>
      <c r="V32" s="305"/>
      <c r="W32" s="305"/>
      <c r="X32" s="305"/>
      <c r="Y32" s="305"/>
      <c r="Z32" s="305"/>
      <c r="AA32" s="305"/>
      <c r="AB32" s="305"/>
      <c r="AC32" s="305"/>
      <c r="AD32" s="305"/>
      <c r="AE32" s="305"/>
      <c r="AF32" s="305"/>
      <c r="AG32" s="327"/>
      <c r="AH32" s="305"/>
      <c r="AI32" s="305"/>
      <c r="AJ32" s="351"/>
      <c r="AK32" s="305"/>
      <c r="AL32" s="305"/>
      <c r="AM32" s="305"/>
      <c r="AN32" s="305"/>
      <c r="AO32" s="305"/>
      <c r="AP32" s="305"/>
      <c r="AQ32" s="305"/>
      <c r="AR32" s="305"/>
    </row>
    <row r="33" spans="1:44" ht="15.75" x14ac:dyDescent="0.25">
      <c r="A33" s="305"/>
      <c r="B33" s="382"/>
      <c r="C33" s="382"/>
      <c r="D33" s="382"/>
      <c r="E33" s="383"/>
      <c r="F33" s="383"/>
      <c r="G33" s="383"/>
      <c r="H33" s="352"/>
      <c r="I33" s="352"/>
      <c r="J33" s="352"/>
      <c r="K33" s="308"/>
      <c r="L33" s="305"/>
      <c r="M33" s="305"/>
      <c r="N33" s="323"/>
      <c r="O33" s="323"/>
      <c r="P33" s="323"/>
      <c r="Q33" s="350"/>
      <c r="R33" s="323"/>
      <c r="S33" s="323"/>
      <c r="T33" s="305"/>
      <c r="U33" s="305"/>
      <c r="V33" s="305"/>
      <c r="W33" s="305"/>
      <c r="X33" s="305"/>
      <c r="Y33" s="305"/>
      <c r="Z33" s="305"/>
      <c r="AA33" s="305"/>
      <c r="AB33" s="305"/>
      <c r="AC33" s="305"/>
      <c r="AD33" s="305"/>
      <c r="AE33" s="305"/>
      <c r="AF33" s="305"/>
      <c r="AG33" s="305"/>
      <c r="AH33" s="305"/>
      <c r="AI33" s="305"/>
      <c r="AJ33" s="353"/>
      <c r="AK33" s="305"/>
      <c r="AL33" s="305"/>
      <c r="AM33" s="305"/>
      <c r="AN33" s="305"/>
      <c r="AO33" s="305"/>
      <c r="AP33" s="305"/>
      <c r="AQ33" s="305"/>
      <c r="AR33" s="305"/>
    </row>
    <row r="34" spans="1:44" ht="15.75" x14ac:dyDescent="0.25">
      <c r="A34" s="305"/>
      <c r="B34" s="385"/>
      <c r="C34" s="385"/>
      <c r="D34" s="385"/>
      <c r="E34" s="386"/>
      <c r="F34" s="386"/>
      <c r="G34" s="386"/>
      <c r="H34" s="354"/>
      <c r="I34" s="354"/>
      <c r="J34" s="354"/>
      <c r="K34" s="351"/>
      <c r="L34" s="339"/>
      <c r="M34" s="339"/>
      <c r="N34" s="323"/>
      <c r="O34" s="323"/>
      <c r="P34" s="323"/>
      <c r="Q34" s="350"/>
      <c r="R34" s="323"/>
      <c r="S34" s="323"/>
      <c r="T34" s="305"/>
      <c r="U34" s="305"/>
      <c r="V34" s="308"/>
      <c r="W34" s="308"/>
      <c r="X34" s="308"/>
      <c r="Y34" s="308"/>
      <c r="Z34" s="308"/>
      <c r="AA34" s="305"/>
      <c r="AB34" s="305"/>
      <c r="AC34" s="305"/>
      <c r="AD34" s="305"/>
      <c r="AE34" s="305"/>
      <c r="AF34" s="305"/>
      <c r="AG34" s="305"/>
      <c r="AH34" s="305"/>
      <c r="AI34" s="305"/>
      <c r="AJ34" s="305"/>
      <c r="AK34" s="305"/>
      <c r="AL34" s="305"/>
      <c r="AM34" s="305"/>
      <c r="AN34" s="305"/>
      <c r="AO34" s="305"/>
      <c r="AP34" s="305"/>
      <c r="AQ34" s="305"/>
      <c r="AR34" s="305"/>
    </row>
    <row r="35" spans="1:44" s="310" customFormat="1" ht="15.75" x14ac:dyDescent="0.25">
      <c r="A35" s="308"/>
      <c r="B35" s="323"/>
      <c r="C35" s="323"/>
      <c r="D35" s="323"/>
      <c r="E35" s="387"/>
      <c r="F35" s="387"/>
      <c r="G35" s="387"/>
      <c r="H35" s="354"/>
      <c r="I35" s="354"/>
      <c r="J35" s="354"/>
      <c r="K35" s="355"/>
      <c r="L35" s="339"/>
      <c r="M35" s="339"/>
      <c r="N35" s="356"/>
      <c r="O35" s="356"/>
      <c r="P35" s="356"/>
      <c r="Q35" s="350"/>
      <c r="R35" s="356"/>
      <c r="S35" s="323"/>
      <c r="T35" s="308"/>
      <c r="U35" s="308"/>
      <c r="V35" s="305"/>
      <c r="W35" s="305"/>
      <c r="X35" s="305"/>
      <c r="Y35" s="305"/>
      <c r="Z35" s="305"/>
      <c r="AA35" s="308"/>
      <c r="AB35" s="308"/>
      <c r="AC35" s="308"/>
      <c r="AD35" s="308"/>
      <c r="AE35" s="308"/>
      <c r="AF35" s="308"/>
      <c r="AG35" s="308"/>
      <c r="AH35" s="308"/>
      <c r="AI35" s="308"/>
      <c r="AJ35" s="309"/>
      <c r="AK35" s="308"/>
      <c r="AL35" s="308"/>
      <c r="AM35" s="308"/>
      <c r="AN35" s="308"/>
      <c r="AO35" s="308"/>
      <c r="AP35" s="308"/>
      <c r="AQ35" s="308"/>
      <c r="AR35" s="308"/>
    </row>
    <row r="36" spans="1:44" ht="15.75" x14ac:dyDescent="0.25">
      <c r="A36" s="305"/>
      <c r="B36" s="385"/>
      <c r="C36" s="385"/>
      <c r="D36" s="385"/>
      <c r="E36" s="386"/>
      <c r="F36" s="386"/>
      <c r="G36" s="386"/>
      <c r="H36" s="354"/>
      <c r="I36" s="354"/>
      <c r="J36" s="354"/>
      <c r="K36" s="323"/>
      <c r="L36" s="323"/>
      <c r="M36" s="323"/>
      <c r="N36" s="323"/>
      <c r="O36" s="323"/>
      <c r="P36" s="323"/>
      <c r="Q36" s="350"/>
      <c r="R36" s="323"/>
      <c r="S36" s="323"/>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row>
    <row r="37" spans="1:44" ht="15.75" x14ac:dyDescent="0.25">
      <c r="A37" s="305"/>
      <c r="B37" s="323"/>
      <c r="C37" s="323"/>
      <c r="D37" s="323"/>
      <c r="E37" s="388"/>
      <c r="F37" s="388"/>
      <c r="G37" s="388"/>
      <c r="H37" s="352"/>
      <c r="I37" s="352"/>
      <c r="J37" s="352"/>
      <c r="K37" s="323"/>
      <c r="L37" s="323"/>
      <c r="M37" s="323"/>
      <c r="N37" s="323"/>
      <c r="O37" s="323"/>
      <c r="P37" s="323"/>
      <c r="Q37" s="357"/>
      <c r="R37" s="323"/>
      <c r="S37" s="323"/>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row>
    <row r="38" spans="1:44" x14ac:dyDescent="0.25">
      <c r="A38" s="305"/>
      <c r="B38" s="385"/>
      <c r="C38" s="385"/>
      <c r="D38" s="385"/>
      <c r="E38" s="389"/>
      <c r="F38" s="389"/>
      <c r="G38" s="389"/>
      <c r="H38" s="352"/>
      <c r="I38" s="352"/>
      <c r="J38" s="352"/>
      <c r="K38" s="308"/>
      <c r="L38" s="305"/>
      <c r="M38" s="305"/>
      <c r="N38" s="305"/>
      <c r="O38" s="323"/>
      <c r="P38" s="323"/>
      <c r="Q38" s="358"/>
      <c r="R38" s="323"/>
      <c r="S38" s="323"/>
      <c r="T38" s="305"/>
      <c r="U38" s="305"/>
      <c r="V38" s="305"/>
      <c r="W38" s="305"/>
      <c r="X38" s="305"/>
      <c r="Y38" s="305"/>
      <c r="Z38" s="305"/>
      <c r="AA38" s="305"/>
      <c r="AB38" s="305"/>
      <c r="AC38" s="305"/>
      <c r="AD38" s="305"/>
      <c r="AE38" s="305"/>
      <c r="AF38" s="305"/>
      <c r="AG38" s="305"/>
      <c r="AH38" s="305"/>
      <c r="AI38" s="305"/>
      <c r="AJ38" s="305"/>
      <c r="AK38" s="305"/>
      <c r="AL38" s="305"/>
      <c r="AM38" s="305"/>
      <c r="AN38" s="305"/>
      <c r="AO38" s="305"/>
      <c r="AP38" s="305"/>
      <c r="AQ38" s="305"/>
      <c r="AR38" s="305"/>
    </row>
    <row r="39" spans="1:44" x14ac:dyDescent="0.25">
      <c r="A39" s="305"/>
      <c r="B39" s="323"/>
      <c r="C39" s="323"/>
      <c r="D39" s="323"/>
      <c r="E39" s="356"/>
      <c r="F39" s="356"/>
      <c r="G39" s="356"/>
      <c r="H39" s="323"/>
      <c r="I39" s="323"/>
      <c r="J39" s="323"/>
      <c r="K39" s="323"/>
      <c r="L39" s="323"/>
      <c r="M39" s="323"/>
      <c r="N39" s="323"/>
      <c r="O39" s="323"/>
      <c r="P39" s="323"/>
      <c r="Q39" s="323"/>
      <c r="R39" s="323"/>
      <c r="S39" s="323"/>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305"/>
    </row>
    <row r="40" spans="1:44" x14ac:dyDescent="0.25">
      <c r="A40" s="305"/>
      <c r="B40" s="323"/>
      <c r="C40" s="323"/>
      <c r="D40" s="323"/>
      <c r="E40" s="383"/>
      <c r="F40" s="383"/>
      <c r="G40" s="383"/>
      <c r="H40" s="305"/>
      <c r="I40" s="305"/>
      <c r="J40" s="305"/>
      <c r="K40" s="305"/>
      <c r="L40" s="305"/>
      <c r="M40" s="305"/>
      <c r="N40" s="305"/>
      <c r="O40" s="323"/>
      <c r="P40" s="323"/>
      <c r="Q40" s="323"/>
      <c r="R40" s="323"/>
      <c r="S40" s="323"/>
      <c r="T40" s="305"/>
      <c r="U40" s="305"/>
      <c r="V40" s="305"/>
      <c r="W40" s="305"/>
      <c r="X40" s="305"/>
      <c r="Y40" s="305"/>
      <c r="Z40" s="305"/>
      <c r="AA40" s="305"/>
      <c r="AB40" s="305"/>
      <c r="AC40" s="305"/>
      <c r="AD40" s="305"/>
      <c r="AE40" s="305"/>
      <c r="AF40" s="305"/>
      <c r="AG40" s="305"/>
      <c r="AH40" s="305"/>
      <c r="AI40" s="305"/>
      <c r="AJ40" s="305"/>
      <c r="AK40" s="305"/>
      <c r="AL40" s="305"/>
      <c r="AM40" s="305"/>
      <c r="AN40" s="305"/>
      <c r="AO40" s="305"/>
      <c r="AP40" s="305"/>
      <c r="AQ40" s="305"/>
      <c r="AR40" s="305"/>
    </row>
    <row r="41" spans="1:44" x14ac:dyDescent="0.25">
      <c r="A41" s="305"/>
      <c r="B41" s="390"/>
      <c r="C41" s="390"/>
      <c r="D41" s="390"/>
      <c r="E41" s="311"/>
      <c r="F41" s="311"/>
      <c r="G41" s="311"/>
      <c r="H41" s="305"/>
      <c r="I41" s="305"/>
      <c r="J41" s="305"/>
      <c r="K41" s="359"/>
      <c r="L41" s="305"/>
      <c r="M41" s="305"/>
      <c r="N41" s="305"/>
      <c r="O41" s="323"/>
      <c r="P41" s="323"/>
      <c r="Q41" s="323"/>
      <c r="R41" s="323"/>
      <c r="S41" s="323"/>
      <c r="T41" s="305"/>
      <c r="U41" s="305"/>
      <c r="V41" s="305"/>
      <c r="W41" s="305"/>
      <c r="X41" s="305"/>
      <c r="Y41" s="305"/>
      <c r="Z41" s="305"/>
      <c r="AA41" s="305"/>
      <c r="AB41" s="305"/>
      <c r="AC41" s="305"/>
      <c r="AD41" s="305"/>
      <c r="AE41" s="305"/>
      <c r="AF41" s="305"/>
      <c r="AG41" s="360"/>
      <c r="AH41" s="305"/>
      <c r="AI41" s="305"/>
      <c r="AJ41" s="305"/>
      <c r="AK41" s="305"/>
      <c r="AL41" s="305"/>
      <c r="AM41" s="305"/>
      <c r="AN41" s="305"/>
      <c r="AO41" s="305"/>
      <c r="AP41" s="305"/>
      <c r="AQ41" s="305"/>
      <c r="AR41" s="305"/>
    </row>
    <row r="42" spans="1:44" x14ac:dyDescent="0.25">
      <c r="A42" s="305"/>
      <c r="B42" s="390"/>
      <c r="C42" s="390"/>
      <c r="D42" s="390"/>
      <c r="E42" s="311"/>
      <c r="F42" s="311"/>
      <c r="G42" s="311"/>
      <c r="H42" s="361"/>
      <c r="I42" s="361"/>
      <c r="J42" s="361"/>
      <c r="K42" s="362"/>
      <c r="L42" s="323"/>
      <c r="M42" s="323"/>
      <c r="N42" s="323"/>
      <c r="O42" s="323"/>
      <c r="P42" s="323"/>
      <c r="Q42" s="323"/>
      <c r="R42" s="323"/>
      <c r="S42" s="323"/>
      <c r="T42" s="305"/>
      <c r="U42" s="305"/>
      <c r="V42" s="305"/>
      <c r="W42" s="305"/>
      <c r="X42" s="305"/>
      <c r="Y42" s="305"/>
      <c r="Z42" s="305"/>
      <c r="AA42" s="305"/>
      <c r="AB42" s="305"/>
      <c r="AC42" s="305"/>
      <c r="AD42" s="305"/>
      <c r="AE42" s="305"/>
      <c r="AF42" s="305"/>
      <c r="AG42" s="360"/>
      <c r="AH42" s="305"/>
      <c r="AI42" s="305"/>
      <c r="AJ42" s="305"/>
      <c r="AK42" s="305"/>
      <c r="AL42" s="305"/>
      <c r="AM42" s="305"/>
      <c r="AN42" s="305"/>
      <c r="AO42" s="305"/>
      <c r="AP42" s="305"/>
      <c r="AQ42" s="305"/>
      <c r="AR42" s="305"/>
    </row>
    <row r="43" spans="1:44" x14ac:dyDescent="0.25">
      <c r="A43" s="305"/>
      <c r="B43" s="390"/>
      <c r="C43" s="390"/>
      <c r="D43" s="390"/>
      <c r="E43" s="391"/>
      <c r="F43" s="391"/>
      <c r="G43" s="391"/>
      <c r="H43" s="323"/>
      <c r="I43" s="323"/>
      <c r="J43" s="323"/>
      <c r="K43" s="363"/>
      <c r="L43" s="323"/>
      <c r="M43" s="323"/>
      <c r="N43" s="323"/>
      <c r="O43" s="323"/>
      <c r="P43" s="323"/>
      <c r="Q43" s="323"/>
      <c r="R43" s="323"/>
      <c r="S43" s="323"/>
      <c r="T43" s="305"/>
      <c r="U43" s="305"/>
      <c r="V43" s="305"/>
      <c r="W43" s="305"/>
      <c r="X43" s="305"/>
      <c r="Y43" s="305"/>
      <c r="Z43" s="305"/>
      <c r="AA43" s="305"/>
      <c r="AB43" s="305"/>
      <c r="AC43" s="305"/>
      <c r="AD43" s="305"/>
      <c r="AE43" s="305"/>
      <c r="AF43" s="305"/>
      <c r="AG43" s="305"/>
      <c r="AH43" s="305"/>
      <c r="AI43" s="305"/>
      <c r="AJ43" s="305"/>
      <c r="AK43" s="305"/>
      <c r="AL43" s="305"/>
      <c r="AM43" s="305"/>
      <c r="AN43" s="305"/>
      <c r="AO43" s="305"/>
      <c r="AP43" s="305"/>
      <c r="AQ43" s="305"/>
      <c r="AR43" s="305"/>
    </row>
    <row r="44" spans="1:44" x14ac:dyDescent="0.25">
      <c r="A44" s="305"/>
      <c r="B44" s="392"/>
      <c r="C44" s="392"/>
      <c r="D44" s="392"/>
      <c r="E44" s="393"/>
      <c r="F44" s="393"/>
      <c r="G44" s="393"/>
      <c r="H44" s="364"/>
      <c r="I44" s="364"/>
      <c r="J44" s="364"/>
      <c r="K44" s="365"/>
      <c r="L44" s="323"/>
      <c r="M44" s="323"/>
      <c r="N44" s="323"/>
      <c r="O44" s="323"/>
      <c r="P44" s="323"/>
      <c r="Q44" s="323"/>
      <c r="R44" s="323"/>
      <c r="S44" s="323"/>
      <c r="T44" s="305"/>
      <c r="U44" s="305"/>
      <c r="V44" s="305"/>
      <c r="W44" s="305"/>
      <c r="X44" s="305"/>
      <c r="Y44" s="305"/>
      <c r="Z44" s="305"/>
      <c r="AA44" s="305"/>
      <c r="AB44" s="305"/>
      <c r="AC44" s="305"/>
      <c r="AD44" s="305"/>
      <c r="AE44" s="305"/>
      <c r="AF44" s="305"/>
      <c r="AG44" s="305"/>
      <c r="AH44" s="305"/>
      <c r="AI44" s="305"/>
      <c r="AJ44" s="305"/>
      <c r="AK44" s="305"/>
      <c r="AL44" s="305"/>
      <c r="AM44" s="305"/>
      <c r="AN44" s="305"/>
      <c r="AO44" s="305"/>
      <c r="AP44" s="305"/>
      <c r="AQ44" s="305"/>
      <c r="AR44" s="305"/>
    </row>
    <row r="45" spans="1:44" x14ac:dyDescent="0.25">
      <c r="A45" s="305"/>
      <c r="B45" s="394"/>
      <c r="C45" s="394"/>
      <c r="D45" s="394" t="s">
        <v>7</v>
      </c>
      <c r="E45" s="389"/>
      <c r="F45" s="389"/>
      <c r="G45" s="389"/>
      <c r="H45" s="323"/>
      <c r="I45" s="323"/>
      <c r="J45" s="323"/>
      <c r="K45" s="363"/>
      <c r="L45" s="323"/>
      <c r="M45" s="323"/>
      <c r="N45" s="323"/>
      <c r="O45" s="323"/>
      <c r="P45" s="323"/>
      <c r="Q45" s="323"/>
      <c r="R45" s="323"/>
      <c r="S45" s="323"/>
      <c r="T45" s="305"/>
      <c r="U45" s="305"/>
      <c r="V45" s="305"/>
      <c r="W45" s="305"/>
      <c r="X45" s="305"/>
      <c r="Y45" s="305"/>
      <c r="Z45" s="305"/>
      <c r="AA45" s="305"/>
      <c r="AB45" s="305"/>
      <c r="AC45" s="305"/>
      <c r="AD45" s="305"/>
      <c r="AE45" s="305"/>
      <c r="AF45" s="305"/>
      <c r="AG45" s="305"/>
      <c r="AH45" s="305"/>
      <c r="AI45" s="305"/>
      <c r="AJ45" s="305"/>
      <c r="AK45" s="305"/>
      <c r="AL45" s="305"/>
      <c r="AM45" s="305"/>
      <c r="AN45" s="305"/>
      <c r="AO45" s="305"/>
      <c r="AP45" s="305"/>
      <c r="AQ45" s="305"/>
      <c r="AR45" s="305"/>
    </row>
    <row r="46" spans="1:44" x14ac:dyDescent="0.25">
      <c r="A46" s="305"/>
      <c r="B46" s="392"/>
      <c r="C46" s="392"/>
      <c r="D46" s="392"/>
      <c r="E46" s="393"/>
      <c r="F46" s="393"/>
      <c r="G46" s="393"/>
      <c r="H46" s="366"/>
      <c r="I46" s="366"/>
      <c r="J46" s="366"/>
      <c r="K46" s="365"/>
      <c r="L46" s="323"/>
      <c r="M46" s="323"/>
      <c r="N46" s="323"/>
      <c r="O46" s="323"/>
      <c r="P46" s="323"/>
      <c r="Q46" s="323"/>
      <c r="R46" s="323"/>
      <c r="S46" s="323"/>
      <c r="T46" s="305"/>
      <c r="U46" s="305"/>
      <c r="V46" s="305"/>
      <c r="W46" s="305"/>
      <c r="X46" s="305"/>
      <c r="Y46" s="305"/>
      <c r="Z46" s="305"/>
      <c r="AA46" s="305"/>
      <c r="AB46" s="305"/>
      <c r="AC46" s="305"/>
      <c r="AD46" s="305"/>
      <c r="AE46" s="305"/>
      <c r="AF46" s="305"/>
      <c r="AG46" s="305"/>
      <c r="AH46" s="305"/>
      <c r="AI46" s="305"/>
      <c r="AJ46" s="305"/>
      <c r="AK46" s="305"/>
      <c r="AL46" s="305"/>
      <c r="AM46" s="305"/>
      <c r="AN46" s="305"/>
      <c r="AO46" s="305"/>
      <c r="AP46" s="305"/>
      <c r="AQ46" s="305"/>
      <c r="AR46" s="305"/>
    </row>
    <row r="47" spans="1:44" x14ac:dyDescent="0.25">
      <c r="A47" s="305"/>
      <c r="B47" s="394"/>
      <c r="C47" s="394"/>
      <c r="D47" s="394"/>
      <c r="E47" s="389"/>
      <c r="F47" s="389"/>
      <c r="G47" s="389"/>
      <c r="H47" s="366"/>
      <c r="I47" s="366"/>
      <c r="J47" s="366"/>
      <c r="K47" s="365"/>
      <c r="L47" s="323"/>
      <c r="M47" s="323"/>
      <c r="N47" s="365"/>
      <c r="O47" s="366"/>
      <c r="P47" s="323"/>
      <c r="Q47" s="323"/>
      <c r="R47" s="323"/>
      <c r="S47" s="323"/>
      <c r="T47" s="305"/>
      <c r="U47" s="305"/>
      <c r="V47" s="305"/>
      <c r="W47" s="305"/>
      <c r="X47" s="305"/>
      <c r="Y47" s="305"/>
      <c r="Z47" s="305"/>
      <c r="AA47" s="305"/>
      <c r="AB47" s="305"/>
      <c r="AC47" s="305"/>
      <c r="AD47" s="305"/>
      <c r="AE47" s="305"/>
      <c r="AF47" s="305"/>
      <c r="AG47" s="305"/>
      <c r="AH47" s="305"/>
      <c r="AI47" s="305"/>
      <c r="AJ47" s="305"/>
      <c r="AK47" s="305"/>
      <c r="AL47" s="305"/>
      <c r="AM47" s="305"/>
      <c r="AN47" s="305"/>
      <c r="AO47" s="305"/>
      <c r="AP47" s="305"/>
      <c r="AQ47" s="305"/>
      <c r="AR47" s="305"/>
    </row>
    <row r="48" spans="1:44" x14ac:dyDescent="0.25">
      <c r="A48" s="305"/>
      <c r="B48" s="382"/>
      <c r="C48" s="382"/>
      <c r="D48" s="382"/>
      <c r="E48" s="393"/>
      <c r="F48" s="393"/>
      <c r="G48" s="393"/>
      <c r="H48" s="367"/>
      <c r="I48" s="367"/>
      <c r="J48" s="367"/>
      <c r="K48" s="365"/>
      <c r="L48" s="323"/>
      <c r="M48" s="323"/>
      <c r="N48" s="365"/>
      <c r="O48" s="366"/>
      <c r="P48" s="323"/>
      <c r="Q48" s="323"/>
      <c r="R48" s="323"/>
      <c r="S48" s="323"/>
      <c r="T48" s="305"/>
      <c r="U48" s="305"/>
      <c r="V48" s="305"/>
      <c r="W48" s="305"/>
      <c r="X48" s="305"/>
      <c r="Y48" s="305"/>
      <c r="Z48" s="305"/>
      <c r="AA48" s="305"/>
      <c r="AB48" s="305"/>
      <c r="AC48" s="305"/>
      <c r="AD48" s="305"/>
      <c r="AE48" s="305"/>
      <c r="AF48" s="305"/>
      <c r="AG48" s="305"/>
      <c r="AH48" s="305"/>
      <c r="AI48" s="305"/>
      <c r="AJ48" s="305"/>
      <c r="AK48" s="305"/>
      <c r="AL48" s="305"/>
      <c r="AM48" s="305"/>
      <c r="AN48" s="305"/>
      <c r="AO48" s="305"/>
      <c r="AP48" s="305"/>
      <c r="AQ48" s="305"/>
      <c r="AR48" s="305"/>
    </row>
    <row r="49" spans="1:44" x14ac:dyDescent="0.25">
      <c r="A49" s="305"/>
      <c r="B49" s="394"/>
      <c r="C49" s="394"/>
      <c r="D49" s="394"/>
      <c r="E49" s="389"/>
      <c r="F49" s="389"/>
      <c r="G49" s="389"/>
      <c r="H49" s="323"/>
      <c r="I49" s="323"/>
      <c r="J49" s="323"/>
      <c r="K49" s="363"/>
      <c r="L49" s="323"/>
      <c r="M49" s="323"/>
      <c r="N49" s="368"/>
      <c r="O49" s="323"/>
      <c r="P49" s="323"/>
      <c r="Q49" s="323"/>
      <c r="R49" s="323"/>
      <c r="S49" s="323"/>
      <c r="T49" s="305"/>
      <c r="U49" s="305"/>
      <c r="V49" s="305"/>
      <c r="W49" s="305"/>
      <c r="X49" s="305"/>
      <c r="Y49" s="305"/>
      <c r="Z49" s="305"/>
      <c r="AA49" s="305"/>
      <c r="AB49" s="305"/>
      <c r="AC49" s="305"/>
      <c r="AD49" s="305"/>
      <c r="AE49" s="305"/>
      <c r="AF49" s="305"/>
      <c r="AG49" s="305"/>
      <c r="AH49" s="305"/>
      <c r="AI49" s="305"/>
      <c r="AJ49" s="305"/>
      <c r="AK49" s="305"/>
      <c r="AL49" s="305"/>
      <c r="AM49" s="305"/>
      <c r="AN49" s="305"/>
      <c r="AO49" s="305"/>
      <c r="AP49" s="305"/>
      <c r="AQ49" s="305"/>
      <c r="AR49" s="305"/>
    </row>
    <row r="50" spans="1:44" x14ac:dyDescent="0.25">
      <c r="A50" s="305"/>
      <c r="B50" s="392"/>
      <c r="C50" s="392"/>
      <c r="D50" s="392"/>
      <c r="E50" s="393"/>
      <c r="F50" s="393"/>
      <c r="G50" s="393"/>
      <c r="H50" s="323"/>
      <c r="I50" s="323"/>
      <c r="J50" s="323"/>
      <c r="K50" s="363"/>
      <c r="L50" s="323"/>
      <c r="M50" s="323"/>
      <c r="N50" s="368"/>
      <c r="O50" s="323"/>
      <c r="P50" s="323"/>
      <c r="Q50" s="323"/>
      <c r="R50" s="323"/>
      <c r="S50" s="323"/>
      <c r="T50" s="305"/>
      <c r="U50" s="305"/>
      <c r="V50" s="305"/>
      <c r="W50" s="305"/>
      <c r="X50" s="305"/>
      <c r="Y50" s="305"/>
      <c r="Z50" s="305"/>
      <c r="AA50" s="305"/>
      <c r="AB50" s="305"/>
      <c r="AC50" s="305"/>
      <c r="AD50" s="305"/>
      <c r="AE50" s="305"/>
      <c r="AF50" s="305"/>
      <c r="AG50" s="305"/>
      <c r="AH50" s="305"/>
      <c r="AI50" s="305"/>
      <c r="AJ50" s="305"/>
      <c r="AK50" s="305"/>
      <c r="AL50" s="305"/>
      <c r="AM50" s="305"/>
      <c r="AN50" s="305"/>
      <c r="AO50" s="305"/>
      <c r="AP50" s="305"/>
      <c r="AQ50" s="305"/>
      <c r="AR50" s="305"/>
    </row>
    <row r="51" spans="1:44" x14ac:dyDescent="0.25">
      <c r="A51" s="305"/>
      <c r="B51" s="394"/>
      <c r="C51" s="394"/>
      <c r="D51" s="394"/>
      <c r="E51" s="389"/>
      <c r="F51" s="389"/>
      <c r="G51" s="389"/>
      <c r="H51" s="323"/>
      <c r="I51" s="323"/>
      <c r="J51" s="323"/>
      <c r="K51" s="363"/>
      <c r="L51" s="323"/>
      <c r="M51" s="323"/>
      <c r="N51" s="368"/>
      <c r="O51" s="323"/>
      <c r="P51" s="323"/>
      <c r="Q51" s="323"/>
      <c r="R51" s="323"/>
      <c r="S51" s="323"/>
      <c r="T51" s="305"/>
      <c r="U51" s="305"/>
      <c r="V51" s="305"/>
      <c r="W51" s="305"/>
      <c r="X51" s="305"/>
      <c r="Y51" s="305"/>
      <c r="Z51" s="305"/>
      <c r="AA51" s="305"/>
      <c r="AB51" s="305"/>
      <c r="AC51" s="305"/>
      <c r="AD51" s="305"/>
      <c r="AE51" s="305"/>
      <c r="AF51" s="305"/>
      <c r="AG51" s="305"/>
      <c r="AH51" s="305"/>
      <c r="AI51" s="305"/>
      <c r="AJ51" s="305"/>
      <c r="AK51" s="305"/>
      <c r="AL51" s="305"/>
      <c r="AM51" s="305"/>
      <c r="AN51" s="305"/>
      <c r="AO51" s="305"/>
      <c r="AP51" s="305"/>
      <c r="AQ51" s="305"/>
      <c r="AR51" s="305"/>
    </row>
    <row r="52" spans="1:44" x14ac:dyDescent="0.25">
      <c r="A52" s="305"/>
      <c r="B52" s="392"/>
      <c r="C52" s="392"/>
      <c r="D52" s="392"/>
      <c r="E52" s="393"/>
      <c r="F52" s="393"/>
      <c r="G52" s="393"/>
      <c r="H52" s="323"/>
      <c r="I52" s="323"/>
      <c r="J52" s="323"/>
      <c r="K52" s="363"/>
      <c r="L52" s="323"/>
      <c r="M52" s="323"/>
      <c r="N52" s="368"/>
      <c r="O52" s="323"/>
      <c r="P52" s="323"/>
      <c r="Q52" s="323"/>
      <c r="R52" s="323"/>
      <c r="S52" s="323"/>
      <c r="T52" s="305"/>
      <c r="U52" s="305"/>
      <c r="V52" s="305"/>
      <c r="W52" s="305"/>
      <c r="X52" s="305"/>
      <c r="Y52" s="305"/>
      <c r="Z52" s="305"/>
      <c r="AA52" s="305"/>
      <c r="AB52" s="305"/>
      <c r="AC52" s="305"/>
      <c r="AD52" s="305"/>
      <c r="AE52" s="305"/>
      <c r="AF52" s="305"/>
      <c r="AG52" s="305"/>
      <c r="AH52" s="305"/>
      <c r="AI52" s="305"/>
      <c r="AJ52" s="305"/>
      <c r="AK52" s="305"/>
      <c r="AL52" s="305"/>
      <c r="AM52" s="305"/>
      <c r="AN52" s="305"/>
      <c r="AO52" s="305"/>
      <c r="AP52" s="305"/>
      <c r="AQ52" s="305"/>
      <c r="AR52" s="305"/>
    </row>
    <row r="53" spans="1:44" x14ac:dyDescent="0.25">
      <c r="A53" s="305"/>
      <c r="B53" s="394"/>
      <c r="C53" s="394"/>
      <c r="D53" s="394"/>
      <c r="E53" s="389"/>
      <c r="F53" s="389"/>
      <c r="G53" s="389"/>
      <c r="H53" s="323"/>
      <c r="I53" s="323"/>
      <c r="J53" s="323"/>
      <c r="K53" s="363"/>
      <c r="L53" s="323"/>
      <c r="M53" s="323"/>
      <c r="N53" s="368"/>
      <c r="O53" s="323"/>
      <c r="P53" s="323"/>
      <c r="Q53" s="323"/>
      <c r="R53" s="323"/>
      <c r="S53" s="323"/>
      <c r="T53" s="305"/>
      <c r="U53" s="305"/>
      <c r="V53" s="305"/>
      <c r="W53" s="305"/>
      <c r="X53" s="305"/>
      <c r="Y53" s="305"/>
      <c r="Z53" s="305"/>
      <c r="AA53" s="305"/>
      <c r="AB53" s="305"/>
      <c r="AC53" s="305"/>
      <c r="AD53" s="305"/>
      <c r="AE53" s="305"/>
      <c r="AF53" s="305"/>
      <c r="AG53" s="305"/>
      <c r="AH53" s="305"/>
      <c r="AI53" s="305"/>
      <c r="AJ53" s="305"/>
      <c r="AK53" s="305"/>
      <c r="AL53" s="305"/>
      <c r="AM53" s="305"/>
      <c r="AN53" s="305"/>
      <c r="AO53" s="305"/>
      <c r="AP53" s="305"/>
      <c r="AQ53" s="305"/>
      <c r="AR53" s="305"/>
    </row>
    <row r="54" spans="1:44" x14ac:dyDescent="0.25">
      <c r="A54" s="305"/>
      <c r="B54" s="395"/>
      <c r="C54" s="395"/>
      <c r="D54" s="395"/>
      <c r="E54" s="393"/>
      <c r="F54" s="393"/>
      <c r="G54" s="393"/>
      <c r="H54" s="305"/>
      <c r="I54" s="305"/>
      <c r="J54" s="305"/>
      <c r="K54" s="323"/>
      <c r="L54" s="323"/>
      <c r="M54" s="323"/>
      <c r="N54" s="323"/>
      <c r="O54" s="323"/>
      <c r="P54" s="323"/>
      <c r="Q54" s="323"/>
      <c r="R54" s="323"/>
      <c r="S54" s="323"/>
      <c r="T54" s="305"/>
      <c r="U54" s="305"/>
      <c r="V54" s="305"/>
      <c r="W54" s="305"/>
      <c r="X54" s="305"/>
      <c r="Y54" s="305"/>
      <c r="Z54" s="305"/>
      <c r="AA54" s="305"/>
      <c r="AB54" s="305"/>
      <c r="AC54" s="305"/>
      <c r="AD54" s="305"/>
      <c r="AE54" s="305"/>
      <c r="AF54" s="305"/>
      <c r="AG54" s="305"/>
      <c r="AH54" s="305"/>
      <c r="AI54" s="305"/>
      <c r="AJ54" s="305"/>
      <c r="AK54" s="305"/>
      <c r="AL54" s="305"/>
      <c r="AM54" s="305"/>
      <c r="AN54" s="305"/>
      <c r="AO54" s="305"/>
      <c r="AP54" s="305"/>
      <c r="AQ54" s="305"/>
      <c r="AR54" s="305"/>
    </row>
    <row r="55" spans="1:44" x14ac:dyDescent="0.25">
      <c r="A55" s="305"/>
      <c r="B55" s="394"/>
      <c r="C55" s="394"/>
      <c r="D55" s="394"/>
      <c r="E55" s="389"/>
      <c r="F55" s="389"/>
      <c r="G55" s="389"/>
      <c r="H55" s="365"/>
      <c r="I55" s="365"/>
      <c r="J55" s="365"/>
      <c r="K55" s="323"/>
      <c r="L55" s="369"/>
      <c r="M55" s="369"/>
      <c r="N55" s="323"/>
      <c r="O55" s="323"/>
      <c r="P55" s="323"/>
      <c r="Q55" s="323"/>
      <c r="R55" s="323"/>
      <c r="S55" s="323"/>
      <c r="T55" s="305"/>
      <c r="U55" s="305"/>
      <c r="V55" s="305"/>
      <c r="W55" s="305"/>
      <c r="X55" s="305"/>
      <c r="Y55" s="305"/>
      <c r="Z55" s="305"/>
      <c r="AA55" s="305"/>
      <c r="AB55" s="305"/>
      <c r="AC55" s="305"/>
      <c r="AD55" s="305"/>
      <c r="AE55" s="305"/>
      <c r="AF55" s="305"/>
      <c r="AG55" s="305"/>
      <c r="AH55" s="305"/>
      <c r="AI55" s="305"/>
      <c r="AJ55" s="305"/>
      <c r="AK55" s="305"/>
      <c r="AL55" s="305"/>
      <c r="AM55" s="305"/>
      <c r="AN55" s="305"/>
      <c r="AO55" s="305"/>
      <c r="AP55" s="305"/>
      <c r="AQ55" s="305"/>
      <c r="AR55" s="305"/>
    </row>
    <row r="56" spans="1:44" x14ac:dyDescent="0.25">
      <c r="A56" s="305"/>
      <c r="B56" s="392"/>
      <c r="C56" s="392"/>
      <c r="D56" s="392"/>
      <c r="E56" s="383"/>
      <c r="F56" s="383"/>
      <c r="G56" s="383"/>
      <c r="H56" s="365"/>
      <c r="I56" s="365"/>
      <c r="J56" s="365"/>
      <c r="K56" s="323"/>
      <c r="L56" s="323"/>
      <c r="M56" s="323"/>
      <c r="N56" s="323"/>
      <c r="O56" s="323"/>
      <c r="P56" s="323"/>
      <c r="Q56" s="323"/>
      <c r="R56" s="323"/>
      <c r="S56" s="323"/>
      <c r="T56" s="305"/>
      <c r="U56" s="305"/>
      <c r="V56" s="305"/>
      <c r="W56" s="305"/>
      <c r="X56" s="305"/>
      <c r="Y56" s="305"/>
      <c r="Z56" s="305"/>
      <c r="AA56" s="305"/>
      <c r="AB56" s="305"/>
      <c r="AC56" s="305"/>
      <c r="AD56" s="305"/>
      <c r="AE56" s="305"/>
      <c r="AF56" s="305"/>
      <c r="AG56" s="305"/>
      <c r="AH56" s="305"/>
      <c r="AI56" s="305"/>
      <c r="AJ56" s="305"/>
      <c r="AK56" s="305"/>
      <c r="AL56" s="305"/>
      <c r="AM56" s="305"/>
      <c r="AN56" s="305"/>
      <c r="AO56" s="305"/>
      <c r="AP56" s="305"/>
      <c r="AQ56" s="305"/>
      <c r="AR56" s="305"/>
    </row>
    <row r="57" spans="1:44" x14ac:dyDescent="0.25">
      <c r="A57" s="305"/>
      <c r="B57" s="394"/>
      <c r="C57" s="394"/>
      <c r="D57" s="394"/>
      <c r="E57" s="386"/>
      <c r="F57" s="386"/>
      <c r="G57" s="386"/>
      <c r="H57" s="370"/>
      <c r="I57" s="370"/>
      <c r="J57" s="370"/>
      <c r="K57" s="323"/>
      <c r="L57" s="323"/>
      <c r="M57" s="323"/>
      <c r="N57" s="323"/>
      <c r="O57" s="323"/>
      <c r="P57" s="323"/>
      <c r="Q57" s="323"/>
      <c r="R57" s="323"/>
      <c r="S57" s="323"/>
      <c r="T57" s="305"/>
      <c r="U57" s="305"/>
      <c r="V57" s="305"/>
      <c r="W57" s="305"/>
      <c r="X57" s="305"/>
      <c r="Y57" s="305"/>
      <c r="Z57" s="305"/>
      <c r="AA57" s="305"/>
      <c r="AB57" s="305"/>
      <c r="AC57" s="305"/>
      <c r="AD57" s="305"/>
      <c r="AE57" s="305"/>
      <c r="AF57" s="305"/>
      <c r="AG57" s="305"/>
      <c r="AH57" s="305"/>
      <c r="AI57" s="305"/>
      <c r="AJ57" s="305"/>
      <c r="AK57" s="305"/>
      <c r="AL57" s="305"/>
      <c r="AM57" s="305"/>
      <c r="AN57" s="305"/>
      <c r="AO57" s="305"/>
      <c r="AP57" s="305"/>
      <c r="AQ57" s="305"/>
      <c r="AR57" s="305"/>
    </row>
    <row r="58" spans="1:44" x14ac:dyDescent="0.25">
      <c r="A58" s="305"/>
      <c r="B58" s="392"/>
      <c r="C58" s="392"/>
      <c r="D58" s="392"/>
      <c r="E58" s="396"/>
      <c r="F58" s="396"/>
      <c r="G58" s="396"/>
      <c r="H58" s="323"/>
      <c r="I58" s="323"/>
      <c r="J58" s="323"/>
      <c r="K58" s="323"/>
      <c r="L58" s="323"/>
      <c r="M58" s="323"/>
      <c r="N58" s="323"/>
      <c r="O58" s="323"/>
      <c r="P58" s="323"/>
      <c r="Q58" s="323"/>
      <c r="R58" s="323"/>
      <c r="S58" s="323"/>
      <c r="T58" s="305"/>
      <c r="U58" s="305"/>
      <c r="V58" s="305"/>
      <c r="W58" s="305"/>
      <c r="X58" s="305"/>
      <c r="Y58" s="305"/>
      <c r="Z58" s="305"/>
      <c r="AA58" s="305"/>
      <c r="AB58" s="305"/>
      <c r="AC58" s="305"/>
      <c r="AD58" s="305"/>
      <c r="AE58" s="305"/>
      <c r="AF58" s="305"/>
      <c r="AG58" s="305"/>
      <c r="AH58" s="305"/>
      <c r="AI58" s="305"/>
      <c r="AJ58" s="305"/>
      <c r="AK58" s="305"/>
      <c r="AL58" s="305"/>
      <c r="AM58" s="305"/>
      <c r="AN58" s="305"/>
      <c r="AO58" s="305"/>
      <c r="AP58" s="305"/>
      <c r="AQ58" s="305"/>
      <c r="AR58" s="305"/>
    </row>
    <row r="59" spans="1:44" x14ac:dyDescent="0.25">
      <c r="A59" s="305"/>
      <c r="B59" s="394"/>
      <c r="C59" s="394"/>
      <c r="D59" s="394"/>
      <c r="E59" s="389"/>
      <c r="F59" s="389"/>
      <c r="G59" s="389"/>
      <c r="H59" s="323"/>
      <c r="I59" s="323"/>
      <c r="J59" s="323"/>
      <c r="K59" s="323"/>
      <c r="L59" s="323"/>
      <c r="M59" s="323"/>
      <c r="N59" s="323"/>
      <c r="O59" s="323"/>
      <c r="P59" s="323"/>
      <c r="Q59" s="323"/>
      <c r="R59" s="323"/>
      <c r="S59" s="323"/>
      <c r="T59" s="305"/>
      <c r="U59" s="305"/>
      <c r="V59" s="305"/>
      <c r="W59" s="305"/>
      <c r="X59" s="305"/>
      <c r="Y59" s="305"/>
      <c r="Z59" s="305"/>
      <c r="AA59" s="305"/>
      <c r="AB59" s="305"/>
      <c r="AC59" s="305"/>
      <c r="AD59" s="305"/>
      <c r="AE59" s="305"/>
      <c r="AF59" s="305"/>
      <c r="AG59" s="305"/>
      <c r="AH59" s="305"/>
      <c r="AI59" s="305"/>
      <c r="AJ59" s="305"/>
      <c r="AK59" s="305"/>
      <c r="AL59" s="305"/>
      <c r="AM59" s="305"/>
      <c r="AN59" s="305"/>
      <c r="AO59" s="305"/>
      <c r="AP59" s="305"/>
      <c r="AQ59" s="305"/>
      <c r="AR59" s="305"/>
    </row>
    <row r="60" spans="1:44" x14ac:dyDescent="0.25">
      <c r="A60" s="305"/>
      <c r="B60" s="394"/>
      <c r="C60" s="394"/>
      <c r="D60" s="394"/>
      <c r="E60" s="383"/>
      <c r="F60" s="383"/>
      <c r="G60" s="383"/>
      <c r="H60" s="323"/>
      <c r="I60" s="323"/>
      <c r="J60" s="323"/>
      <c r="K60" s="323"/>
      <c r="L60" s="323"/>
      <c r="M60" s="323"/>
      <c r="N60" s="323"/>
      <c r="O60" s="323"/>
      <c r="P60" s="323"/>
      <c r="Q60" s="323"/>
      <c r="R60" s="323"/>
      <c r="S60" s="323"/>
      <c r="T60" s="305"/>
      <c r="U60" s="305"/>
      <c r="V60" s="305"/>
      <c r="W60" s="305"/>
      <c r="X60" s="305"/>
      <c r="Y60" s="305"/>
      <c r="Z60" s="305"/>
      <c r="AA60" s="305"/>
      <c r="AB60" s="305"/>
      <c r="AC60" s="305"/>
      <c r="AD60" s="305"/>
      <c r="AE60" s="305"/>
      <c r="AF60" s="305"/>
      <c r="AG60" s="305"/>
      <c r="AH60" s="305"/>
      <c r="AI60" s="305"/>
      <c r="AJ60" s="305"/>
      <c r="AK60" s="305"/>
      <c r="AL60" s="305"/>
      <c r="AM60" s="305"/>
      <c r="AN60" s="305"/>
      <c r="AO60" s="305"/>
      <c r="AP60" s="305"/>
      <c r="AQ60" s="305"/>
      <c r="AR60" s="305"/>
    </row>
    <row r="61" spans="1:44" x14ac:dyDescent="0.25">
      <c r="A61" s="305"/>
      <c r="B61" s="394"/>
      <c r="C61" s="394"/>
      <c r="D61" s="394"/>
      <c r="E61" s="386"/>
      <c r="F61" s="386"/>
      <c r="G61" s="386"/>
      <c r="H61" s="323"/>
      <c r="I61" s="323"/>
      <c r="J61" s="323"/>
      <c r="K61" s="323"/>
      <c r="L61" s="323"/>
      <c r="M61" s="323"/>
      <c r="N61" s="323"/>
      <c r="O61" s="323"/>
      <c r="P61" s="323"/>
      <c r="Q61" s="323"/>
      <c r="R61" s="323"/>
      <c r="S61" s="323"/>
      <c r="T61" s="305"/>
      <c r="U61" s="305"/>
      <c r="V61" s="305"/>
      <c r="W61" s="305"/>
      <c r="X61" s="305"/>
      <c r="Y61" s="305"/>
      <c r="Z61" s="305"/>
      <c r="AA61" s="305"/>
      <c r="AB61" s="305"/>
      <c r="AC61" s="305"/>
      <c r="AD61" s="305"/>
      <c r="AE61" s="305"/>
      <c r="AF61" s="305"/>
      <c r="AG61" s="305"/>
      <c r="AH61" s="305"/>
      <c r="AI61" s="305"/>
      <c r="AJ61" s="305"/>
      <c r="AK61" s="305"/>
      <c r="AL61" s="305"/>
      <c r="AM61" s="305"/>
      <c r="AN61" s="305"/>
      <c r="AO61" s="305"/>
      <c r="AP61" s="305"/>
      <c r="AQ61" s="305"/>
      <c r="AR61" s="305"/>
    </row>
    <row r="62" spans="1:44" x14ac:dyDescent="0.25">
      <c r="A62" s="305"/>
      <c r="B62" s="392"/>
      <c r="C62" s="392"/>
      <c r="D62" s="392"/>
      <c r="E62" s="383"/>
      <c r="F62" s="383"/>
      <c r="G62" s="383"/>
      <c r="H62" s="323"/>
      <c r="I62" s="323"/>
      <c r="J62" s="323"/>
      <c r="K62" s="323"/>
      <c r="L62" s="323"/>
      <c r="M62" s="323"/>
      <c r="N62" s="323"/>
      <c r="O62" s="323"/>
      <c r="P62" s="323"/>
      <c r="Q62" s="323"/>
      <c r="R62" s="323"/>
      <c r="S62" s="323"/>
      <c r="T62" s="305"/>
      <c r="U62" s="305"/>
      <c r="V62" s="305"/>
      <c r="W62" s="305"/>
      <c r="X62" s="305"/>
      <c r="Y62" s="305"/>
      <c r="Z62" s="305"/>
      <c r="AA62" s="305"/>
      <c r="AB62" s="305"/>
      <c r="AC62" s="305"/>
      <c r="AD62" s="305"/>
      <c r="AE62" s="305"/>
      <c r="AF62" s="305"/>
      <c r="AG62" s="305"/>
      <c r="AH62" s="305"/>
      <c r="AI62" s="305"/>
      <c r="AJ62" s="305"/>
      <c r="AK62" s="305"/>
      <c r="AL62" s="305"/>
      <c r="AM62" s="305"/>
      <c r="AN62" s="305"/>
      <c r="AO62" s="305"/>
      <c r="AP62" s="305"/>
      <c r="AQ62" s="305"/>
      <c r="AR62" s="305"/>
    </row>
    <row r="63" spans="1:44" x14ac:dyDescent="0.25">
      <c r="A63" s="305"/>
      <c r="B63" s="392"/>
      <c r="C63" s="392"/>
      <c r="D63" s="392"/>
      <c r="E63" s="397"/>
      <c r="F63" s="397"/>
      <c r="G63" s="397"/>
      <c r="H63" s="323"/>
      <c r="I63" s="323"/>
      <c r="J63" s="323"/>
      <c r="K63" s="323"/>
      <c r="L63" s="323"/>
      <c r="M63" s="323"/>
      <c r="N63" s="323"/>
      <c r="O63" s="323"/>
      <c r="P63" s="323"/>
      <c r="Q63" s="323"/>
      <c r="R63" s="323"/>
      <c r="S63" s="323"/>
      <c r="T63" s="305"/>
      <c r="U63" s="305"/>
      <c r="V63" s="305"/>
      <c r="W63" s="305"/>
      <c r="X63" s="305"/>
      <c r="Y63" s="305"/>
      <c r="Z63" s="305"/>
      <c r="AA63" s="305"/>
      <c r="AB63" s="305"/>
      <c r="AC63" s="305"/>
      <c r="AD63" s="305"/>
      <c r="AE63" s="305"/>
      <c r="AF63" s="305"/>
      <c r="AG63" s="305"/>
      <c r="AH63" s="305"/>
      <c r="AI63" s="305"/>
      <c r="AJ63" s="305"/>
      <c r="AK63" s="305"/>
      <c r="AL63" s="305"/>
      <c r="AM63" s="305"/>
      <c r="AN63" s="305"/>
      <c r="AO63" s="305"/>
      <c r="AP63" s="305"/>
      <c r="AQ63" s="305"/>
      <c r="AR63" s="305"/>
    </row>
    <row r="64" spans="1:44" x14ac:dyDescent="0.25">
      <c r="A64" s="305"/>
      <c r="B64" s="392"/>
      <c r="C64" s="392"/>
      <c r="D64" s="392"/>
      <c r="E64" s="383"/>
      <c r="F64" s="383"/>
      <c r="G64" s="383"/>
      <c r="H64" s="323"/>
      <c r="I64" s="323"/>
      <c r="J64" s="323"/>
      <c r="K64" s="323"/>
      <c r="L64" s="323"/>
      <c r="M64" s="323"/>
      <c r="N64" s="323"/>
      <c r="O64" s="323"/>
      <c r="P64" s="323"/>
      <c r="Q64" s="323"/>
      <c r="R64" s="323"/>
      <c r="S64" s="323"/>
      <c r="T64" s="305"/>
      <c r="U64" s="305"/>
      <c r="V64" s="305"/>
      <c r="W64" s="305"/>
      <c r="X64" s="305"/>
      <c r="Y64" s="305"/>
      <c r="Z64" s="305"/>
      <c r="AA64" s="305"/>
      <c r="AB64" s="305"/>
      <c r="AC64" s="305"/>
      <c r="AD64" s="305"/>
      <c r="AE64" s="305"/>
      <c r="AF64" s="305"/>
      <c r="AG64" s="305"/>
      <c r="AH64" s="305"/>
      <c r="AI64" s="305"/>
      <c r="AJ64" s="305"/>
      <c r="AK64" s="305"/>
      <c r="AL64" s="305"/>
      <c r="AM64" s="305"/>
      <c r="AN64" s="305"/>
      <c r="AO64" s="305"/>
      <c r="AP64" s="305"/>
      <c r="AQ64" s="305"/>
      <c r="AR64" s="305"/>
    </row>
    <row r="65" spans="1:44" x14ac:dyDescent="0.25">
      <c r="A65" s="305"/>
      <c r="B65" s="344"/>
      <c r="C65" s="344"/>
      <c r="D65" s="344"/>
      <c r="E65" s="398"/>
      <c r="F65" s="398"/>
      <c r="G65" s="398"/>
      <c r="H65" s="323"/>
      <c r="I65" s="323"/>
      <c r="J65" s="323"/>
      <c r="K65" s="323"/>
      <c r="L65" s="323"/>
      <c r="M65" s="323"/>
      <c r="N65" s="323"/>
      <c r="O65" s="323"/>
      <c r="P65" s="323"/>
      <c r="Q65" s="323"/>
      <c r="R65" s="323"/>
      <c r="S65" s="323"/>
      <c r="T65" s="305"/>
      <c r="U65" s="305"/>
      <c r="V65" s="305"/>
      <c r="W65" s="305"/>
      <c r="X65" s="305"/>
      <c r="Y65" s="305"/>
      <c r="Z65" s="305"/>
      <c r="AA65" s="305"/>
      <c r="AB65" s="305"/>
      <c r="AC65" s="305"/>
      <c r="AD65" s="305"/>
      <c r="AE65" s="305"/>
      <c r="AF65" s="305"/>
      <c r="AG65" s="305"/>
      <c r="AH65" s="305"/>
      <c r="AI65" s="305"/>
      <c r="AJ65" s="305"/>
      <c r="AK65" s="305"/>
      <c r="AL65" s="305"/>
      <c r="AM65" s="305"/>
      <c r="AN65" s="305"/>
      <c r="AO65" s="305"/>
      <c r="AP65" s="305"/>
      <c r="AQ65" s="305"/>
      <c r="AR65" s="305"/>
    </row>
    <row r="66" spans="1:44" x14ac:dyDescent="0.25">
      <c r="A66" s="305"/>
      <c r="B66" s="305"/>
      <c r="C66" s="305"/>
      <c r="D66" s="305"/>
      <c r="E66" s="305"/>
      <c r="F66" s="305"/>
      <c r="G66" s="305"/>
      <c r="H66" s="323"/>
      <c r="I66" s="323"/>
      <c r="J66" s="323"/>
      <c r="K66" s="323"/>
      <c r="L66" s="323"/>
      <c r="M66" s="323"/>
      <c r="N66" s="323"/>
      <c r="O66" s="323"/>
      <c r="P66" s="323"/>
      <c r="Q66" s="323"/>
      <c r="R66" s="323"/>
      <c r="S66" s="323"/>
      <c r="T66" s="305"/>
      <c r="U66" s="305"/>
      <c r="V66" s="305"/>
      <c r="W66" s="305"/>
      <c r="X66" s="305"/>
      <c r="Y66" s="305"/>
      <c r="Z66" s="305"/>
      <c r="AA66" s="305"/>
      <c r="AB66" s="305"/>
      <c r="AC66" s="305"/>
      <c r="AD66" s="305"/>
      <c r="AE66" s="305"/>
      <c r="AF66" s="305"/>
      <c r="AG66" s="305"/>
      <c r="AH66" s="305"/>
      <c r="AI66" s="305"/>
      <c r="AJ66" s="305"/>
      <c r="AK66" s="305"/>
      <c r="AL66" s="305"/>
      <c r="AM66" s="305"/>
      <c r="AN66" s="305"/>
      <c r="AO66" s="305"/>
      <c r="AP66" s="305"/>
      <c r="AQ66" s="305"/>
      <c r="AR66" s="305"/>
    </row>
    <row r="67" spans="1:44" x14ac:dyDescent="0.25">
      <c r="A67" s="305"/>
      <c r="B67" s="305"/>
      <c r="C67" s="305"/>
      <c r="D67" s="305"/>
      <c r="E67" s="305"/>
      <c r="F67" s="305"/>
      <c r="G67" s="305"/>
      <c r="H67" s="323"/>
      <c r="I67" s="323"/>
      <c r="J67" s="323"/>
      <c r="K67" s="356"/>
      <c r="L67" s="323"/>
      <c r="M67" s="323"/>
      <c r="N67" s="323"/>
      <c r="O67" s="323"/>
      <c r="P67" s="323"/>
      <c r="Q67" s="323"/>
      <c r="R67" s="323"/>
      <c r="S67" s="323"/>
      <c r="T67" s="323"/>
      <c r="U67" s="323"/>
      <c r="V67" s="323"/>
      <c r="W67" s="323"/>
      <c r="X67" s="323"/>
      <c r="Y67" s="323"/>
      <c r="Z67" s="323"/>
      <c r="AA67" s="305"/>
      <c r="AB67" s="305"/>
      <c r="AC67" s="305"/>
      <c r="AD67" s="305"/>
      <c r="AE67" s="305"/>
      <c r="AF67" s="305"/>
      <c r="AG67" s="305"/>
      <c r="AH67" s="305"/>
      <c r="AI67" s="305"/>
      <c r="AJ67" s="305"/>
      <c r="AK67" s="305"/>
      <c r="AL67" s="305"/>
      <c r="AM67" s="305"/>
      <c r="AN67" s="305"/>
      <c r="AO67" s="305"/>
      <c r="AP67" s="305"/>
      <c r="AQ67" s="305"/>
      <c r="AR67" s="305"/>
    </row>
    <row r="68" spans="1:44" x14ac:dyDescent="0.25">
      <c r="A68" s="305"/>
      <c r="B68" s="305"/>
      <c r="C68" s="305"/>
      <c r="D68" s="305"/>
      <c r="E68" s="305"/>
      <c r="F68" s="305"/>
      <c r="G68" s="305"/>
      <c r="H68" s="323"/>
      <c r="I68" s="323"/>
      <c r="J68" s="323"/>
      <c r="K68" s="356"/>
      <c r="L68" s="323"/>
      <c r="M68" s="323"/>
      <c r="N68" s="323"/>
      <c r="O68" s="323"/>
      <c r="P68" s="323"/>
      <c r="Q68" s="323"/>
      <c r="R68" s="323"/>
      <c r="S68" s="323"/>
      <c r="T68" s="323"/>
      <c r="U68" s="323"/>
      <c r="V68" s="323"/>
      <c r="W68" s="323"/>
      <c r="X68" s="323"/>
      <c r="Y68" s="323"/>
      <c r="Z68" s="323"/>
      <c r="AA68" s="305"/>
      <c r="AB68" s="305"/>
      <c r="AC68" s="305"/>
      <c r="AD68" s="305"/>
      <c r="AE68" s="305"/>
      <c r="AF68" s="305"/>
      <c r="AG68" s="305"/>
      <c r="AH68" s="305"/>
      <c r="AI68" s="305"/>
      <c r="AJ68" s="305"/>
      <c r="AK68" s="305"/>
      <c r="AL68" s="305"/>
      <c r="AM68" s="305"/>
      <c r="AN68" s="305"/>
      <c r="AO68" s="305"/>
      <c r="AP68" s="305"/>
      <c r="AQ68" s="305"/>
      <c r="AR68" s="305"/>
    </row>
    <row r="69" spans="1:44" x14ac:dyDescent="0.25">
      <c r="A69" s="305"/>
      <c r="B69" s="305"/>
      <c r="C69" s="305"/>
      <c r="D69" s="305"/>
      <c r="E69" s="305"/>
      <c r="F69" s="305"/>
      <c r="G69" s="305"/>
      <c r="H69" s="323"/>
      <c r="I69" s="323"/>
      <c r="J69" s="323"/>
      <c r="K69" s="356"/>
      <c r="L69" s="323"/>
      <c r="M69" s="323"/>
      <c r="N69" s="323"/>
      <c r="O69" s="323"/>
      <c r="P69" s="323"/>
      <c r="Q69" s="323"/>
      <c r="R69" s="323"/>
      <c r="S69" s="323"/>
      <c r="T69" s="323"/>
      <c r="U69" s="323"/>
      <c r="V69" s="323"/>
      <c r="W69" s="323"/>
      <c r="X69" s="323"/>
      <c r="Y69" s="323"/>
      <c r="Z69" s="323"/>
      <c r="AA69" s="305"/>
      <c r="AB69" s="305"/>
      <c r="AC69" s="305"/>
      <c r="AD69" s="305"/>
      <c r="AE69" s="305"/>
      <c r="AF69" s="305"/>
      <c r="AG69" s="305"/>
      <c r="AH69" s="305"/>
      <c r="AI69" s="305"/>
      <c r="AJ69" s="305"/>
      <c r="AK69" s="305"/>
      <c r="AL69" s="305"/>
      <c r="AM69" s="305"/>
      <c r="AN69" s="305"/>
      <c r="AO69" s="305"/>
      <c r="AP69" s="305"/>
      <c r="AQ69" s="305"/>
      <c r="AR69" s="305"/>
    </row>
    <row r="70" spans="1:44" x14ac:dyDescent="0.25">
      <c r="A70" s="305"/>
      <c r="B70" s="305"/>
      <c r="C70" s="305"/>
      <c r="D70" s="305"/>
      <c r="E70" s="305"/>
      <c r="F70" s="305"/>
      <c r="G70" s="305"/>
      <c r="H70" s="323"/>
      <c r="I70" s="323"/>
      <c r="J70" s="323"/>
      <c r="K70" s="356"/>
      <c r="L70" s="323"/>
      <c r="M70" s="323"/>
      <c r="N70" s="323"/>
      <c r="O70" s="323"/>
      <c r="P70" s="323"/>
      <c r="Q70" s="323"/>
      <c r="R70" s="323"/>
      <c r="S70" s="323"/>
      <c r="T70" s="323"/>
      <c r="U70" s="323"/>
      <c r="V70" s="323"/>
      <c r="W70" s="323"/>
      <c r="X70" s="323"/>
      <c r="Y70" s="323"/>
      <c r="Z70" s="323"/>
      <c r="AA70" s="305"/>
      <c r="AB70" s="305"/>
      <c r="AC70" s="305"/>
      <c r="AD70" s="305"/>
      <c r="AE70" s="305"/>
      <c r="AF70" s="305"/>
      <c r="AG70" s="305"/>
      <c r="AH70" s="305"/>
      <c r="AI70" s="305"/>
      <c r="AJ70" s="305"/>
      <c r="AK70" s="305"/>
      <c r="AL70" s="305"/>
      <c r="AM70" s="305"/>
      <c r="AN70" s="305"/>
      <c r="AO70" s="305"/>
      <c r="AP70" s="305"/>
      <c r="AQ70" s="305"/>
      <c r="AR70" s="305"/>
    </row>
    <row r="71" spans="1:44" x14ac:dyDescent="0.25">
      <c r="A71" s="305"/>
      <c r="B71" s="305"/>
      <c r="C71" s="305"/>
      <c r="D71" s="305"/>
      <c r="E71" s="305"/>
      <c r="F71" s="305"/>
      <c r="G71" s="305"/>
      <c r="H71" s="323"/>
      <c r="I71" s="323"/>
      <c r="J71" s="323"/>
      <c r="K71" s="356"/>
      <c r="L71" s="323"/>
      <c r="M71" s="323"/>
      <c r="N71" s="323"/>
      <c r="O71" s="323"/>
      <c r="P71" s="323"/>
      <c r="Q71" s="323"/>
      <c r="R71" s="323"/>
      <c r="S71" s="323"/>
      <c r="T71" s="323"/>
      <c r="U71" s="323"/>
      <c r="V71" s="323"/>
      <c r="W71" s="323"/>
      <c r="X71" s="323"/>
      <c r="Y71" s="323"/>
      <c r="Z71" s="323"/>
      <c r="AA71" s="305"/>
      <c r="AB71" s="305"/>
      <c r="AC71" s="305"/>
      <c r="AD71" s="305"/>
      <c r="AE71" s="305"/>
      <c r="AF71" s="305"/>
      <c r="AG71" s="305"/>
      <c r="AH71" s="305"/>
      <c r="AI71" s="305"/>
      <c r="AJ71" s="305"/>
      <c r="AK71" s="305"/>
      <c r="AL71" s="305"/>
      <c r="AM71" s="305"/>
      <c r="AN71" s="305"/>
      <c r="AO71" s="305"/>
      <c r="AP71" s="305"/>
      <c r="AQ71" s="305"/>
      <c r="AR71" s="305"/>
    </row>
    <row r="72" spans="1:44" x14ac:dyDescent="0.25">
      <c r="A72" s="305"/>
      <c r="B72" s="305"/>
      <c r="C72" s="305"/>
      <c r="D72" s="305"/>
      <c r="E72" s="305"/>
      <c r="F72" s="305"/>
      <c r="G72" s="305"/>
      <c r="H72" s="323"/>
      <c r="I72" s="323"/>
      <c r="J72" s="323"/>
      <c r="K72" s="356"/>
      <c r="L72" s="323"/>
      <c r="M72" s="323"/>
      <c r="N72" s="323"/>
      <c r="O72" s="323"/>
      <c r="P72" s="323"/>
      <c r="Q72" s="323"/>
      <c r="R72" s="323"/>
      <c r="S72" s="323"/>
      <c r="T72" s="323"/>
      <c r="U72" s="323"/>
      <c r="V72" s="323"/>
      <c r="W72" s="323"/>
      <c r="X72" s="323"/>
      <c r="Y72" s="323"/>
      <c r="Z72" s="323"/>
      <c r="AA72" s="305"/>
      <c r="AB72" s="305"/>
      <c r="AC72" s="305"/>
      <c r="AD72" s="305"/>
      <c r="AE72" s="305"/>
      <c r="AF72" s="305"/>
      <c r="AG72" s="305"/>
      <c r="AH72" s="305"/>
      <c r="AI72" s="305"/>
      <c r="AJ72" s="305"/>
      <c r="AK72" s="305"/>
      <c r="AL72" s="305"/>
      <c r="AM72" s="305"/>
      <c r="AN72" s="305"/>
      <c r="AO72" s="305"/>
      <c r="AP72" s="305"/>
      <c r="AQ72" s="305"/>
      <c r="AR72" s="305"/>
    </row>
    <row r="73" spans="1:44" x14ac:dyDescent="0.25">
      <c r="A73" s="305"/>
      <c r="B73" s="305"/>
      <c r="C73" s="305"/>
      <c r="D73" s="305"/>
      <c r="E73" s="305"/>
      <c r="F73" s="305"/>
      <c r="G73" s="305"/>
      <c r="H73" s="323"/>
      <c r="I73" s="323"/>
      <c r="J73" s="323"/>
      <c r="K73" s="356"/>
      <c r="L73" s="323"/>
      <c r="M73" s="323"/>
      <c r="N73" s="323"/>
      <c r="O73" s="323"/>
      <c r="P73" s="323"/>
      <c r="Q73" s="323"/>
      <c r="R73" s="323"/>
      <c r="S73" s="323"/>
      <c r="T73" s="323"/>
      <c r="U73" s="323"/>
      <c r="V73" s="323"/>
      <c r="W73" s="323"/>
      <c r="X73" s="323"/>
      <c r="Y73" s="323"/>
      <c r="Z73" s="323"/>
      <c r="AA73" s="305"/>
      <c r="AB73" s="305"/>
      <c r="AC73" s="305"/>
      <c r="AD73" s="305"/>
      <c r="AE73" s="305"/>
      <c r="AF73" s="305"/>
      <c r="AG73" s="305"/>
      <c r="AH73" s="305"/>
      <c r="AI73" s="305"/>
      <c r="AJ73" s="305"/>
      <c r="AK73" s="305"/>
      <c r="AL73" s="305"/>
      <c r="AM73" s="305"/>
      <c r="AN73" s="305"/>
      <c r="AO73" s="305"/>
      <c r="AP73" s="305"/>
      <c r="AQ73" s="305"/>
      <c r="AR73" s="305"/>
    </row>
    <row r="74" spans="1:44" x14ac:dyDescent="0.25">
      <c r="A74" s="305"/>
      <c r="B74" s="305"/>
      <c r="C74" s="305"/>
      <c r="D74" s="305"/>
      <c r="E74" s="305"/>
      <c r="F74" s="305"/>
      <c r="G74" s="305"/>
      <c r="H74" s="323"/>
      <c r="I74" s="323"/>
      <c r="J74" s="323"/>
      <c r="K74" s="356"/>
      <c r="L74" s="323"/>
      <c r="M74" s="323"/>
      <c r="N74" s="323"/>
      <c r="O74" s="323"/>
      <c r="P74" s="323"/>
      <c r="Q74" s="323"/>
      <c r="R74" s="323"/>
      <c r="S74" s="323"/>
      <c r="T74" s="323"/>
      <c r="U74" s="323"/>
      <c r="V74" s="323"/>
      <c r="W74" s="323"/>
      <c r="X74" s="323"/>
      <c r="Y74" s="323"/>
      <c r="Z74" s="323"/>
      <c r="AA74" s="305"/>
      <c r="AB74" s="305"/>
      <c r="AC74" s="305"/>
      <c r="AD74" s="305"/>
      <c r="AE74" s="305"/>
      <c r="AF74" s="305"/>
      <c r="AG74" s="305"/>
      <c r="AH74" s="305"/>
      <c r="AI74" s="305"/>
      <c r="AJ74" s="305"/>
      <c r="AK74" s="305"/>
      <c r="AL74" s="305"/>
      <c r="AM74" s="305"/>
      <c r="AN74" s="305"/>
      <c r="AO74" s="305"/>
      <c r="AP74" s="305"/>
      <c r="AQ74" s="305"/>
      <c r="AR74" s="305"/>
    </row>
    <row r="75" spans="1:44" x14ac:dyDescent="0.25">
      <c r="A75" s="305"/>
      <c r="B75" s="305"/>
      <c r="C75" s="305"/>
      <c r="D75" s="305"/>
      <c r="E75" s="305"/>
      <c r="F75" s="305"/>
      <c r="G75" s="305"/>
      <c r="H75" s="323"/>
      <c r="I75" s="323"/>
      <c r="J75" s="323"/>
      <c r="K75" s="305"/>
      <c r="L75" s="305"/>
      <c r="M75" s="305"/>
      <c r="N75" s="305"/>
      <c r="O75" s="305"/>
      <c r="P75" s="305"/>
      <c r="Q75" s="305"/>
      <c r="R75" s="305"/>
      <c r="S75" s="305"/>
      <c r="T75" s="305"/>
      <c r="U75" s="337"/>
      <c r="V75" s="305"/>
      <c r="W75" s="305"/>
      <c r="X75" s="305"/>
      <c r="Y75" s="323"/>
      <c r="Z75" s="323"/>
      <c r="AA75" s="305"/>
      <c r="AB75" s="305"/>
      <c r="AC75" s="305"/>
      <c r="AD75" s="305"/>
      <c r="AE75" s="305"/>
      <c r="AF75" s="305"/>
      <c r="AG75" s="305"/>
      <c r="AH75" s="305"/>
      <c r="AI75" s="305"/>
      <c r="AJ75" s="305"/>
      <c r="AK75" s="305"/>
      <c r="AL75" s="305"/>
      <c r="AM75" s="305"/>
      <c r="AN75" s="305"/>
      <c r="AO75" s="305"/>
      <c r="AP75" s="305"/>
      <c r="AQ75" s="305"/>
      <c r="AR75" s="305"/>
    </row>
    <row r="76" spans="1:44" x14ac:dyDescent="0.25">
      <c r="A76" s="305"/>
      <c r="B76" s="305"/>
      <c r="C76" s="305"/>
      <c r="D76" s="305"/>
      <c r="E76" s="305"/>
      <c r="F76" s="305"/>
      <c r="G76" s="305"/>
      <c r="H76" s="323"/>
      <c r="I76" s="323"/>
      <c r="J76" s="323"/>
      <c r="K76" s="305"/>
      <c r="L76" s="305"/>
      <c r="M76" s="305"/>
      <c r="N76" s="305"/>
      <c r="O76" s="305"/>
      <c r="P76" s="305"/>
      <c r="Q76" s="305"/>
      <c r="R76" s="305"/>
      <c r="S76" s="305"/>
      <c r="T76" s="305"/>
      <c r="U76" s="337"/>
      <c r="V76" s="305"/>
      <c r="W76" s="305"/>
      <c r="X76" s="305"/>
      <c r="Y76" s="323"/>
      <c r="Z76" s="323"/>
      <c r="AA76" s="305"/>
      <c r="AB76" s="305"/>
      <c r="AC76" s="305"/>
      <c r="AD76" s="305"/>
      <c r="AE76" s="305"/>
      <c r="AF76" s="305"/>
      <c r="AG76" s="305"/>
      <c r="AH76" s="305"/>
      <c r="AI76" s="305"/>
      <c r="AJ76" s="305"/>
      <c r="AK76" s="305"/>
      <c r="AL76" s="305"/>
      <c r="AM76" s="305"/>
      <c r="AN76" s="305"/>
      <c r="AO76" s="305"/>
      <c r="AP76" s="305"/>
      <c r="AQ76" s="305"/>
      <c r="AR76" s="305"/>
    </row>
    <row r="77" spans="1:44" x14ac:dyDescent="0.25">
      <c r="A77" s="305"/>
      <c r="B77" s="305"/>
      <c r="C77" s="305"/>
      <c r="D77" s="305"/>
      <c r="E77" s="305"/>
      <c r="F77" s="305"/>
      <c r="G77" s="305"/>
      <c r="H77" s="323"/>
      <c r="I77" s="323"/>
      <c r="J77" s="323"/>
      <c r="K77" s="305"/>
      <c r="L77" s="305"/>
      <c r="M77" s="305"/>
      <c r="N77" s="305"/>
      <c r="O77" s="305"/>
      <c r="P77" s="305"/>
      <c r="Q77" s="305"/>
      <c r="R77" s="305"/>
      <c r="S77" s="305"/>
      <c r="T77" s="305"/>
      <c r="U77" s="337"/>
      <c r="V77" s="305"/>
      <c r="W77" s="305"/>
      <c r="X77" s="305"/>
      <c r="Y77" s="323"/>
      <c r="Z77" s="323"/>
      <c r="AA77" s="305"/>
      <c r="AB77" s="305"/>
      <c r="AC77" s="305"/>
      <c r="AD77" s="305"/>
      <c r="AE77" s="305"/>
      <c r="AF77" s="305"/>
      <c r="AG77" s="305"/>
      <c r="AH77" s="305"/>
      <c r="AI77" s="305"/>
      <c r="AJ77" s="305"/>
      <c r="AK77" s="305"/>
      <c r="AL77" s="305"/>
      <c r="AM77" s="305"/>
      <c r="AN77" s="305"/>
      <c r="AO77" s="305"/>
      <c r="AP77" s="305"/>
      <c r="AQ77" s="305"/>
      <c r="AR77" s="305"/>
    </row>
    <row r="78" spans="1:44" x14ac:dyDescent="0.25">
      <c r="A78" s="305"/>
      <c r="B78" s="305"/>
      <c r="C78" s="305"/>
      <c r="D78" s="305"/>
      <c r="E78" s="305"/>
      <c r="F78" s="305"/>
      <c r="G78" s="305"/>
      <c r="H78" s="323"/>
      <c r="I78" s="323"/>
      <c r="J78" s="323"/>
      <c r="K78" s="305"/>
      <c r="L78" s="305"/>
      <c r="M78" s="305"/>
      <c r="N78" s="305"/>
      <c r="O78" s="305"/>
      <c r="P78" s="305"/>
      <c r="Q78" s="305"/>
      <c r="R78" s="305"/>
      <c r="S78" s="305"/>
      <c r="T78" s="305"/>
      <c r="U78" s="337"/>
      <c r="V78" s="305"/>
      <c r="W78" s="305"/>
      <c r="X78" s="305"/>
      <c r="Y78" s="323"/>
      <c r="Z78" s="323"/>
      <c r="AA78" s="305"/>
      <c r="AB78" s="305"/>
      <c r="AC78" s="305"/>
      <c r="AD78" s="305"/>
      <c r="AE78" s="305"/>
      <c r="AF78" s="305"/>
      <c r="AG78" s="305"/>
      <c r="AH78" s="305"/>
      <c r="AI78" s="305"/>
      <c r="AJ78" s="305"/>
      <c r="AK78" s="305"/>
      <c r="AL78" s="305"/>
      <c r="AM78" s="305"/>
      <c r="AN78" s="305"/>
      <c r="AO78" s="305"/>
      <c r="AP78" s="305"/>
      <c r="AQ78" s="305"/>
      <c r="AR78" s="305"/>
    </row>
    <row r="79" spans="1:44" x14ac:dyDescent="0.25">
      <c r="A79" s="305"/>
      <c r="B79" s="305"/>
      <c r="C79" s="305"/>
      <c r="D79" s="305"/>
      <c r="E79" s="305"/>
      <c r="F79" s="305"/>
      <c r="G79" s="305"/>
      <c r="H79" s="308"/>
      <c r="I79" s="308"/>
      <c r="J79" s="308"/>
      <c r="K79" s="305"/>
      <c r="L79" s="305"/>
      <c r="M79" s="305"/>
      <c r="N79" s="305"/>
      <c r="O79" s="305"/>
      <c r="P79" s="305"/>
      <c r="Q79" s="305"/>
      <c r="R79" s="305"/>
      <c r="S79" s="305"/>
      <c r="T79" s="305"/>
      <c r="U79" s="337"/>
      <c r="V79" s="305"/>
      <c r="W79" s="305"/>
      <c r="X79" s="305"/>
      <c r="Y79" s="323"/>
      <c r="Z79" s="323"/>
      <c r="AA79" s="305"/>
      <c r="AB79" s="305"/>
      <c r="AC79" s="305"/>
      <c r="AD79" s="305"/>
      <c r="AE79" s="305"/>
      <c r="AF79" s="305"/>
      <c r="AG79" s="305"/>
      <c r="AH79" s="305"/>
      <c r="AI79" s="305"/>
      <c r="AJ79" s="305"/>
      <c r="AK79" s="305"/>
      <c r="AL79" s="305"/>
      <c r="AM79" s="305"/>
      <c r="AN79" s="305"/>
      <c r="AO79" s="305"/>
      <c r="AP79" s="305"/>
      <c r="AQ79" s="305"/>
      <c r="AR79" s="305"/>
    </row>
    <row r="80" spans="1:44" x14ac:dyDescent="0.25">
      <c r="A80" s="305"/>
      <c r="B80" s="305"/>
      <c r="C80" s="305"/>
      <c r="D80" s="305"/>
      <c r="E80" s="305"/>
      <c r="F80" s="305"/>
      <c r="G80" s="305"/>
      <c r="H80" s="308"/>
      <c r="I80" s="308"/>
      <c r="J80" s="308"/>
      <c r="K80" s="305"/>
      <c r="L80" s="305"/>
      <c r="M80" s="305"/>
      <c r="N80" s="305"/>
      <c r="O80" s="305"/>
      <c r="P80" s="305"/>
      <c r="Q80" s="305"/>
      <c r="R80" s="305"/>
      <c r="S80" s="305"/>
      <c r="T80" s="305"/>
      <c r="U80" s="337"/>
      <c r="V80" s="305"/>
      <c r="W80" s="305"/>
      <c r="X80" s="305"/>
      <c r="Y80" s="323"/>
      <c r="Z80" s="323"/>
      <c r="AA80" s="305"/>
      <c r="AB80" s="305"/>
      <c r="AC80" s="305"/>
      <c r="AD80" s="305"/>
      <c r="AE80" s="305"/>
      <c r="AF80" s="305"/>
      <c r="AG80" s="305"/>
      <c r="AH80" s="305"/>
      <c r="AI80" s="305"/>
      <c r="AJ80" s="305"/>
      <c r="AK80" s="305"/>
      <c r="AL80" s="305"/>
      <c r="AM80" s="305"/>
      <c r="AN80" s="305"/>
      <c r="AO80" s="305"/>
      <c r="AP80" s="305"/>
      <c r="AQ80" s="305"/>
      <c r="AR80" s="305"/>
    </row>
    <row r="81" spans="1:44" x14ac:dyDescent="0.25">
      <c r="A81" s="305"/>
      <c r="B81" s="305"/>
      <c r="C81" s="305"/>
      <c r="D81" s="305"/>
      <c r="E81" s="305"/>
      <c r="F81" s="305"/>
      <c r="G81" s="305"/>
      <c r="H81" s="308"/>
      <c r="I81" s="308"/>
      <c r="J81" s="308"/>
      <c r="K81" s="308"/>
      <c r="L81" s="305"/>
      <c r="M81" s="305"/>
      <c r="N81" s="305"/>
      <c r="O81" s="305"/>
      <c r="P81" s="305"/>
      <c r="Q81" s="305"/>
      <c r="R81" s="305"/>
      <c r="S81" s="305"/>
      <c r="T81" s="305"/>
      <c r="U81" s="305"/>
      <c r="V81" s="305"/>
      <c r="W81" s="305"/>
      <c r="X81" s="305"/>
      <c r="Y81" s="323"/>
      <c r="Z81" s="323"/>
      <c r="AA81" s="305"/>
      <c r="AB81" s="305"/>
      <c r="AC81" s="305"/>
      <c r="AD81" s="305"/>
      <c r="AE81" s="305"/>
      <c r="AF81" s="305"/>
      <c r="AG81" s="305"/>
      <c r="AH81" s="305"/>
      <c r="AI81" s="305"/>
      <c r="AJ81" s="305"/>
      <c r="AK81" s="305"/>
      <c r="AL81" s="305"/>
      <c r="AM81" s="305"/>
      <c r="AN81" s="305"/>
      <c r="AO81" s="305"/>
      <c r="AP81" s="305"/>
      <c r="AQ81" s="305"/>
      <c r="AR81" s="305"/>
    </row>
    <row r="82" spans="1:44" x14ac:dyDescent="0.25">
      <c r="A82" s="305"/>
      <c r="B82" s="305"/>
      <c r="C82" s="305"/>
      <c r="D82" s="305"/>
      <c r="E82" s="305"/>
      <c r="F82" s="305"/>
      <c r="G82" s="305"/>
      <c r="H82" s="308"/>
      <c r="I82" s="308"/>
      <c r="J82" s="308"/>
      <c r="K82" s="308"/>
      <c r="L82" s="305"/>
      <c r="M82" s="305"/>
      <c r="N82" s="305"/>
      <c r="O82" s="305"/>
      <c r="P82" s="305"/>
      <c r="Q82" s="305"/>
      <c r="R82" s="305"/>
      <c r="S82" s="305"/>
      <c r="T82" s="305"/>
      <c r="U82" s="305"/>
      <c r="V82" s="305"/>
      <c r="W82" s="305"/>
      <c r="X82" s="305"/>
      <c r="Y82" s="323"/>
      <c r="Z82" s="323"/>
      <c r="AA82" s="305"/>
      <c r="AB82" s="305"/>
      <c r="AC82" s="305"/>
      <c r="AD82" s="305"/>
      <c r="AE82" s="305"/>
      <c r="AF82" s="305"/>
      <c r="AG82" s="305"/>
      <c r="AH82" s="305"/>
      <c r="AI82" s="305"/>
      <c r="AJ82" s="305"/>
      <c r="AK82" s="305"/>
      <c r="AL82" s="305"/>
      <c r="AM82" s="305"/>
      <c r="AN82" s="305"/>
      <c r="AO82" s="305"/>
      <c r="AP82" s="305"/>
      <c r="AQ82" s="305"/>
      <c r="AR82" s="305"/>
    </row>
    <row r="83" spans="1:44" x14ac:dyDescent="0.25">
      <c r="A83" s="305"/>
      <c r="B83" s="305"/>
      <c r="C83" s="305"/>
      <c r="D83" s="305"/>
      <c r="E83" s="305"/>
      <c r="F83" s="305"/>
      <c r="G83" s="305"/>
      <c r="H83" s="308"/>
      <c r="I83" s="308"/>
      <c r="J83" s="308"/>
      <c r="K83" s="308"/>
      <c r="L83" s="323"/>
      <c r="M83" s="323"/>
      <c r="N83" s="323"/>
      <c r="O83" s="323"/>
      <c r="P83" s="323"/>
      <c r="Q83" s="323"/>
      <c r="R83" s="323"/>
      <c r="S83" s="323"/>
      <c r="T83" s="323"/>
      <c r="U83" s="323"/>
      <c r="V83" s="323"/>
      <c r="W83" s="323"/>
      <c r="X83" s="323"/>
      <c r="Y83" s="323"/>
      <c r="Z83" s="323"/>
      <c r="AA83" s="305"/>
      <c r="AB83" s="305"/>
      <c r="AC83" s="305"/>
      <c r="AD83" s="305"/>
      <c r="AE83" s="305"/>
      <c r="AF83" s="305"/>
      <c r="AG83" s="305"/>
      <c r="AH83" s="305"/>
      <c r="AI83" s="305"/>
      <c r="AJ83" s="305"/>
      <c r="AK83" s="305"/>
      <c r="AL83" s="305"/>
      <c r="AM83" s="305"/>
      <c r="AN83" s="305"/>
      <c r="AO83" s="305"/>
      <c r="AP83" s="305"/>
      <c r="AQ83" s="305"/>
      <c r="AR83" s="305"/>
    </row>
    <row r="84" spans="1:44" x14ac:dyDescent="0.25">
      <c r="A84" s="305"/>
      <c r="B84" s="305"/>
      <c r="C84" s="305"/>
      <c r="D84" s="305"/>
      <c r="E84" s="305"/>
      <c r="F84" s="305"/>
      <c r="G84" s="305"/>
      <c r="H84" s="308"/>
      <c r="I84" s="308"/>
      <c r="J84" s="308"/>
      <c r="K84" s="308"/>
      <c r="L84" s="305"/>
      <c r="M84" s="305"/>
      <c r="N84" s="305"/>
      <c r="O84" s="305"/>
      <c r="P84" s="305"/>
      <c r="Q84" s="305"/>
      <c r="R84" s="305"/>
      <c r="S84" s="305"/>
      <c r="T84" s="305"/>
      <c r="U84" s="305"/>
      <c r="V84" s="305"/>
      <c r="W84" s="305"/>
      <c r="X84" s="305"/>
      <c r="Y84" s="305"/>
      <c r="Z84" s="305"/>
      <c r="AA84" s="305"/>
      <c r="AB84" s="305"/>
      <c r="AC84" s="305"/>
      <c r="AD84" s="305"/>
      <c r="AE84" s="305"/>
      <c r="AF84" s="305"/>
      <c r="AG84" s="305"/>
      <c r="AH84" s="305"/>
      <c r="AI84" s="305"/>
      <c r="AJ84" s="305"/>
      <c r="AK84" s="305"/>
      <c r="AL84" s="305"/>
      <c r="AM84" s="305"/>
      <c r="AN84" s="305"/>
      <c r="AO84" s="305"/>
      <c r="AP84" s="305"/>
      <c r="AQ84" s="305"/>
      <c r="AR84" s="305"/>
    </row>
    <row r="85" spans="1:44" x14ac:dyDescent="0.25">
      <c r="A85" s="305"/>
      <c r="B85" s="305"/>
      <c r="C85" s="305"/>
      <c r="D85" s="305"/>
      <c r="E85" s="305"/>
      <c r="F85" s="305"/>
      <c r="G85" s="305"/>
      <c r="H85" s="308"/>
      <c r="I85" s="308"/>
      <c r="J85" s="308"/>
      <c r="K85" s="308"/>
      <c r="L85" s="305"/>
      <c r="M85" s="305"/>
      <c r="N85" s="305"/>
      <c r="O85" s="305"/>
      <c r="P85" s="305"/>
      <c r="Q85" s="305"/>
      <c r="R85" s="305"/>
      <c r="S85" s="305"/>
      <c r="T85" s="305"/>
      <c r="U85" s="305"/>
      <c r="V85" s="305"/>
      <c r="W85" s="305"/>
      <c r="X85" s="305"/>
      <c r="Y85" s="305"/>
      <c r="Z85" s="305"/>
      <c r="AA85" s="305"/>
      <c r="AB85" s="305"/>
      <c r="AC85" s="305"/>
      <c r="AD85" s="305"/>
      <c r="AE85" s="305"/>
      <c r="AF85" s="305"/>
      <c r="AG85" s="305"/>
      <c r="AH85" s="305"/>
      <c r="AI85" s="305"/>
      <c r="AJ85" s="305"/>
      <c r="AK85" s="305"/>
      <c r="AL85" s="305"/>
      <c r="AM85" s="305"/>
      <c r="AN85" s="305"/>
      <c r="AO85" s="305"/>
      <c r="AP85" s="305"/>
      <c r="AQ85" s="305"/>
      <c r="AR85" s="305"/>
    </row>
    <row r="86" spans="1:44" x14ac:dyDescent="0.25">
      <c r="A86" s="305"/>
      <c r="B86" s="305"/>
      <c r="C86" s="305"/>
      <c r="D86" s="305"/>
      <c r="E86" s="305"/>
      <c r="F86" s="305"/>
      <c r="G86" s="305"/>
      <c r="H86" s="308"/>
      <c r="I86" s="308"/>
      <c r="J86" s="308"/>
      <c r="K86" s="308"/>
      <c r="L86" s="305"/>
      <c r="M86" s="305"/>
      <c r="N86" s="305"/>
      <c r="O86" s="305"/>
      <c r="P86" s="305"/>
      <c r="Q86" s="305"/>
      <c r="R86" s="305"/>
      <c r="S86" s="305"/>
      <c r="T86" s="305"/>
      <c r="U86" s="305"/>
      <c r="V86" s="305"/>
      <c r="W86" s="305"/>
      <c r="X86" s="305"/>
      <c r="Y86" s="305"/>
      <c r="Z86" s="305"/>
      <c r="AA86" s="305"/>
      <c r="AB86" s="305"/>
      <c r="AC86" s="305"/>
      <c r="AD86" s="305"/>
      <c r="AE86" s="305"/>
      <c r="AF86" s="305"/>
      <c r="AG86" s="305"/>
      <c r="AH86" s="305"/>
      <c r="AI86" s="305"/>
      <c r="AJ86" s="305"/>
      <c r="AK86" s="305"/>
      <c r="AL86" s="305"/>
      <c r="AM86" s="305"/>
      <c r="AN86" s="305"/>
      <c r="AO86" s="305"/>
      <c r="AP86" s="305"/>
      <c r="AQ86" s="305"/>
      <c r="AR86" s="305"/>
    </row>
    <row r="87" spans="1:44" x14ac:dyDescent="0.25">
      <c r="A87" s="305"/>
      <c r="B87" s="305"/>
      <c r="C87" s="305"/>
      <c r="D87" s="305"/>
      <c r="E87" s="305"/>
      <c r="F87" s="305"/>
      <c r="G87" s="305"/>
      <c r="H87" s="356"/>
      <c r="I87" s="356"/>
      <c r="J87" s="356"/>
      <c r="K87" s="308"/>
      <c r="L87" s="305"/>
      <c r="M87" s="305"/>
      <c r="N87" s="305"/>
      <c r="O87" s="305"/>
      <c r="P87" s="305"/>
      <c r="Q87" s="305"/>
      <c r="R87" s="305"/>
      <c r="S87" s="305"/>
      <c r="T87" s="305"/>
      <c r="U87" s="305"/>
      <c r="V87" s="305"/>
      <c r="W87" s="305"/>
      <c r="X87" s="305"/>
      <c r="Y87" s="305"/>
      <c r="Z87" s="305"/>
      <c r="AA87" s="305"/>
      <c r="AB87" s="305"/>
      <c r="AC87" s="305"/>
      <c r="AD87" s="305"/>
      <c r="AE87" s="305"/>
      <c r="AF87" s="305"/>
      <c r="AG87" s="305"/>
      <c r="AH87" s="305"/>
      <c r="AI87" s="305"/>
      <c r="AJ87" s="305"/>
      <c r="AK87" s="305"/>
      <c r="AL87" s="305"/>
      <c r="AM87" s="305"/>
      <c r="AN87" s="305"/>
      <c r="AO87" s="305"/>
      <c r="AP87" s="305"/>
      <c r="AQ87" s="305"/>
      <c r="AR87" s="305"/>
    </row>
    <row r="88" spans="1:44" x14ac:dyDescent="0.25">
      <c r="A88" s="305"/>
      <c r="B88" s="305"/>
      <c r="C88" s="305"/>
      <c r="D88" s="305"/>
      <c r="E88" s="305"/>
      <c r="F88" s="305"/>
      <c r="G88" s="305"/>
      <c r="H88" s="305"/>
      <c r="I88" s="305"/>
      <c r="J88" s="305"/>
      <c r="K88" s="308"/>
      <c r="L88" s="305"/>
      <c r="M88" s="305"/>
      <c r="N88" s="305"/>
      <c r="O88" s="305"/>
      <c r="P88" s="305"/>
      <c r="Q88" s="305"/>
      <c r="R88" s="305"/>
      <c r="S88" s="305"/>
      <c r="T88" s="305"/>
      <c r="U88" s="305"/>
      <c r="V88" s="305"/>
      <c r="W88" s="305"/>
      <c r="X88" s="305"/>
      <c r="Y88" s="305"/>
      <c r="Z88" s="305"/>
      <c r="AA88" s="305"/>
      <c r="AB88" s="305"/>
      <c r="AC88" s="305"/>
      <c r="AD88" s="305"/>
      <c r="AE88" s="305"/>
      <c r="AF88" s="305"/>
      <c r="AG88" s="305"/>
      <c r="AH88" s="305"/>
      <c r="AI88" s="305"/>
      <c r="AJ88" s="305"/>
      <c r="AK88" s="305"/>
      <c r="AL88" s="305"/>
      <c r="AM88" s="305"/>
      <c r="AN88" s="305"/>
      <c r="AO88" s="305"/>
      <c r="AP88" s="305"/>
      <c r="AQ88" s="305"/>
      <c r="AR88" s="305"/>
    </row>
    <row r="89" spans="1:44" x14ac:dyDescent="0.25">
      <c r="A89" s="305"/>
      <c r="B89" s="305"/>
      <c r="C89" s="305"/>
      <c r="D89" s="305"/>
      <c r="E89" s="305"/>
      <c r="F89" s="305"/>
      <c r="G89" s="305"/>
      <c r="H89" s="305"/>
      <c r="I89" s="305"/>
      <c r="J89" s="305"/>
      <c r="K89" s="308"/>
      <c r="L89" s="305"/>
      <c r="M89" s="305"/>
      <c r="N89" s="305"/>
      <c r="O89" s="305"/>
      <c r="P89" s="305"/>
      <c r="Q89" s="305"/>
      <c r="R89" s="305"/>
      <c r="S89" s="305"/>
      <c r="T89" s="305"/>
      <c r="U89" s="305"/>
      <c r="V89" s="305"/>
      <c r="W89" s="305"/>
      <c r="X89" s="305"/>
      <c r="Y89" s="305"/>
      <c r="Z89" s="305"/>
      <c r="AA89" s="305"/>
      <c r="AB89" s="305"/>
      <c r="AC89" s="305"/>
      <c r="AD89" s="305"/>
      <c r="AE89" s="305"/>
      <c r="AF89" s="305"/>
      <c r="AG89" s="305"/>
      <c r="AH89" s="305"/>
      <c r="AI89" s="305"/>
      <c r="AJ89" s="305"/>
      <c r="AK89" s="305"/>
      <c r="AL89" s="305"/>
      <c r="AM89" s="305"/>
      <c r="AN89" s="305"/>
      <c r="AO89" s="305"/>
      <c r="AP89" s="305"/>
      <c r="AQ89" s="305"/>
      <c r="AR89" s="305"/>
    </row>
    <row r="90" spans="1:44" x14ac:dyDescent="0.25">
      <c r="A90" s="305"/>
      <c r="B90" s="305"/>
      <c r="C90" s="305"/>
      <c r="D90" s="305"/>
      <c r="E90" s="305"/>
      <c r="F90" s="305"/>
      <c r="G90" s="305"/>
      <c r="H90" s="305"/>
      <c r="I90" s="305"/>
      <c r="J90" s="305"/>
      <c r="K90" s="308"/>
      <c r="L90" s="305"/>
      <c r="M90" s="305"/>
      <c r="N90" s="305"/>
      <c r="O90" s="305"/>
      <c r="P90" s="305"/>
      <c r="Q90" s="305"/>
      <c r="R90" s="305"/>
      <c r="S90" s="305"/>
      <c r="T90" s="305"/>
      <c r="U90" s="305"/>
      <c r="V90" s="305"/>
      <c r="W90" s="305"/>
      <c r="X90" s="305"/>
      <c r="Y90" s="305"/>
      <c r="Z90" s="305"/>
      <c r="AA90" s="305"/>
      <c r="AB90" s="305"/>
      <c r="AC90" s="305"/>
      <c r="AD90" s="305"/>
      <c r="AE90" s="305"/>
      <c r="AF90" s="305"/>
      <c r="AG90" s="305"/>
      <c r="AH90" s="305"/>
      <c r="AI90" s="305"/>
      <c r="AJ90" s="305"/>
      <c r="AK90" s="305"/>
      <c r="AL90" s="305"/>
      <c r="AM90" s="305"/>
      <c r="AN90" s="305"/>
      <c r="AO90" s="305"/>
      <c r="AP90" s="305"/>
      <c r="AQ90" s="305"/>
      <c r="AR90" s="305"/>
    </row>
    <row r="91" spans="1:44" x14ac:dyDescent="0.25">
      <c r="A91" s="305"/>
      <c r="B91" s="305"/>
      <c r="C91" s="305"/>
      <c r="D91" s="305"/>
      <c r="E91" s="305"/>
      <c r="F91" s="305"/>
      <c r="G91" s="305"/>
      <c r="H91" s="305"/>
      <c r="I91" s="305"/>
      <c r="J91" s="305"/>
      <c r="K91" s="308"/>
      <c r="L91" s="305"/>
      <c r="M91" s="305"/>
      <c r="N91" s="305"/>
      <c r="O91" s="305"/>
      <c r="P91" s="305"/>
      <c r="Q91" s="305"/>
      <c r="R91" s="305"/>
      <c r="S91" s="305"/>
      <c r="T91" s="305"/>
      <c r="U91" s="305"/>
      <c r="V91" s="305"/>
      <c r="W91" s="305"/>
      <c r="X91" s="305"/>
      <c r="Y91" s="305"/>
      <c r="Z91" s="305"/>
      <c r="AA91" s="305"/>
      <c r="AB91" s="305"/>
      <c r="AC91" s="305"/>
      <c r="AD91" s="305"/>
      <c r="AE91" s="305"/>
      <c r="AF91" s="305"/>
      <c r="AG91" s="305"/>
      <c r="AH91" s="305"/>
      <c r="AI91" s="305"/>
      <c r="AJ91" s="305"/>
      <c r="AK91" s="305"/>
      <c r="AL91" s="305"/>
      <c r="AM91" s="305"/>
      <c r="AN91" s="305"/>
      <c r="AO91" s="305"/>
      <c r="AP91" s="305"/>
      <c r="AQ91" s="305"/>
      <c r="AR91" s="305"/>
    </row>
    <row r="92" spans="1:44" x14ac:dyDescent="0.25">
      <c r="A92" s="305"/>
      <c r="B92" s="305"/>
      <c r="C92" s="305"/>
      <c r="D92" s="305"/>
      <c r="E92" s="305"/>
      <c r="F92" s="305"/>
      <c r="G92" s="305"/>
      <c r="H92" s="305"/>
      <c r="I92" s="305"/>
      <c r="J92" s="305"/>
      <c r="K92" s="308"/>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5"/>
      <c r="AI92" s="305"/>
      <c r="AJ92" s="305"/>
      <c r="AK92" s="305"/>
      <c r="AL92" s="305"/>
      <c r="AM92" s="305"/>
      <c r="AN92" s="305"/>
      <c r="AO92" s="305"/>
      <c r="AP92" s="305"/>
      <c r="AQ92" s="305"/>
      <c r="AR92" s="305"/>
    </row>
    <row r="93" spans="1:44" x14ac:dyDescent="0.25">
      <c r="A93" s="305"/>
      <c r="B93" s="305"/>
      <c r="C93" s="305"/>
      <c r="D93" s="305"/>
      <c r="E93" s="305"/>
      <c r="F93" s="305"/>
      <c r="G93" s="305"/>
      <c r="H93" s="305"/>
      <c r="I93" s="305"/>
      <c r="J93" s="305"/>
      <c r="K93" s="308"/>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5"/>
      <c r="AL93" s="305"/>
      <c r="AM93" s="305"/>
      <c r="AN93" s="305"/>
      <c r="AO93" s="305"/>
      <c r="AP93" s="305"/>
      <c r="AQ93" s="305"/>
      <c r="AR93" s="305"/>
    </row>
    <row r="94" spans="1:44" x14ac:dyDescent="0.25">
      <c r="A94" s="305"/>
      <c r="B94" s="305"/>
      <c r="C94" s="305"/>
      <c r="D94" s="305"/>
      <c r="E94" s="305"/>
      <c r="F94" s="305"/>
      <c r="G94" s="305"/>
      <c r="H94" s="305"/>
      <c r="I94" s="305"/>
      <c r="J94" s="305"/>
      <c r="K94" s="308"/>
      <c r="L94" s="308"/>
      <c r="M94" s="308"/>
      <c r="N94" s="305"/>
      <c r="O94" s="305"/>
      <c r="P94" s="305"/>
      <c r="Q94" s="305"/>
      <c r="R94" s="305"/>
      <c r="S94" s="305"/>
      <c r="T94" s="305"/>
      <c r="U94" s="305"/>
      <c r="V94" s="305"/>
      <c r="W94" s="305"/>
      <c r="X94" s="305"/>
      <c r="Y94" s="305"/>
      <c r="Z94" s="305"/>
      <c r="AA94" s="305"/>
      <c r="AB94" s="305"/>
      <c r="AC94" s="305"/>
      <c r="AD94" s="305"/>
      <c r="AE94" s="305"/>
      <c r="AF94" s="305"/>
      <c r="AG94" s="305"/>
      <c r="AH94" s="305"/>
      <c r="AI94" s="305"/>
      <c r="AJ94" s="305"/>
      <c r="AK94" s="305"/>
      <c r="AL94" s="305"/>
      <c r="AM94" s="305"/>
      <c r="AN94" s="305"/>
      <c r="AO94" s="305"/>
      <c r="AP94" s="305"/>
      <c r="AQ94" s="305"/>
      <c r="AR94" s="305"/>
    </row>
    <row r="95" spans="1:44" x14ac:dyDescent="0.25">
      <c r="A95" s="305"/>
      <c r="B95" s="305"/>
      <c r="C95" s="305"/>
      <c r="D95" s="305"/>
      <c r="E95" s="305"/>
      <c r="F95" s="305"/>
      <c r="G95" s="305"/>
      <c r="H95" s="305"/>
      <c r="I95" s="305"/>
      <c r="J95" s="305"/>
      <c r="K95" s="308"/>
      <c r="L95" s="308"/>
      <c r="M95" s="308"/>
      <c r="N95" s="305"/>
      <c r="O95" s="305"/>
      <c r="P95" s="305"/>
      <c r="Q95" s="305"/>
      <c r="R95" s="305"/>
      <c r="S95" s="305"/>
      <c r="T95" s="305"/>
      <c r="U95" s="305"/>
      <c r="V95" s="305"/>
      <c r="W95" s="305"/>
      <c r="X95" s="305"/>
      <c r="Y95" s="305"/>
      <c r="Z95" s="305"/>
      <c r="AA95" s="305"/>
      <c r="AB95" s="305"/>
      <c r="AC95" s="305"/>
      <c r="AD95" s="305"/>
      <c r="AE95" s="305"/>
      <c r="AF95" s="305"/>
      <c r="AG95" s="305"/>
      <c r="AH95" s="305"/>
      <c r="AI95" s="305"/>
      <c r="AJ95" s="305"/>
      <c r="AK95" s="305"/>
      <c r="AL95" s="305"/>
      <c r="AM95" s="305"/>
      <c r="AN95" s="305"/>
      <c r="AO95" s="305"/>
      <c r="AP95" s="305"/>
      <c r="AQ95" s="305"/>
      <c r="AR95" s="305"/>
    </row>
    <row r="96" spans="1:44" x14ac:dyDescent="0.25">
      <c r="A96" s="305"/>
      <c r="B96" s="305"/>
      <c r="C96" s="305"/>
      <c r="D96" s="305"/>
      <c r="E96" s="305"/>
      <c r="F96" s="305"/>
      <c r="G96" s="305"/>
      <c r="H96" s="305"/>
      <c r="I96" s="305"/>
      <c r="J96" s="305"/>
      <c r="K96" s="308"/>
      <c r="L96" s="308"/>
      <c r="M96" s="308"/>
      <c r="N96" s="305"/>
      <c r="O96" s="305"/>
      <c r="P96" s="305"/>
      <c r="Q96" s="305"/>
      <c r="R96" s="305"/>
      <c r="S96" s="305"/>
      <c r="T96" s="305"/>
      <c r="U96" s="305"/>
      <c r="V96" s="305"/>
      <c r="W96" s="305"/>
      <c r="X96" s="305"/>
      <c r="Y96" s="305"/>
      <c r="Z96" s="305"/>
      <c r="AA96" s="305"/>
      <c r="AB96" s="305"/>
      <c r="AC96" s="305"/>
      <c r="AD96" s="305"/>
      <c r="AE96" s="305"/>
      <c r="AF96" s="305"/>
      <c r="AG96" s="305"/>
      <c r="AH96" s="305"/>
      <c r="AI96" s="305"/>
      <c r="AJ96" s="305"/>
      <c r="AK96" s="305"/>
      <c r="AL96" s="305"/>
      <c r="AM96" s="305"/>
      <c r="AN96" s="305"/>
      <c r="AO96" s="305"/>
      <c r="AP96" s="305"/>
      <c r="AQ96" s="305"/>
      <c r="AR96" s="305"/>
    </row>
    <row r="97" spans="1:44" x14ac:dyDescent="0.25">
      <c r="A97" s="305"/>
      <c r="B97" s="305"/>
      <c r="C97" s="305"/>
      <c r="D97" s="305"/>
      <c r="E97" s="305"/>
      <c r="F97" s="305"/>
      <c r="G97" s="305"/>
      <c r="H97" s="305"/>
      <c r="I97" s="305"/>
      <c r="J97" s="305"/>
      <c r="K97" s="308"/>
      <c r="L97" s="308"/>
      <c r="M97" s="308"/>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c r="AL97" s="305"/>
      <c r="AM97" s="305"/>
      <c r="AN97" s="305"/>
      <c r="AO97" s="305"/>
      <c r="AP97" s="305"/>
      <c r="AQ97" s="305"/>
      <c r="AR97" s="305"/>
    </row>
    <row r="98" spans="1:44" x14ac:dyDescent="0.25">
      <c r="A98" s="305"/>
      <c r="B98" s="305"/>
      <c r="C98" s="305"/>
      <c r="D98" s="305"/>
      <c r="E98" s="305"/>
      <c r="F98" s="305"/>
      <c r="G98" s="305"/>
      <c r="H98" s="305"/>
      <c r="I98" s="305"/>
      <c r="J98" s="305"/>
      <c r="K98" s="308"/>
      <c r="L98" s="308"/>
      <c r="M98" s="308"/>
      <c r="N98" s="305"/>
      <c r="O98" s="305"/>
      <c r="P98" s="305"/>
      <c r="Q98" s="305"/>
      <c r="R98" s="305"/>
      <c r="S98" s="305"/>
      <c r="T98" s="305"/>
      <c r="U98" s="305"/>
      <c r="V98" s="305"/>
      <c r="W98" s="305"/>
      <c r="X98" s="305"/>
      <c r="Y98" s="305"/>
      <c r="Z98" s="305"/>
      <c r="AA98" s="305"/>
      <c r="AB98" s="305"/>
      <c r="AC98" s="305"/>
      <c r="AD98" s="305"/>
      <c r="AE98" s="305"/>
      <c r="AF98" s="305"/>
      <c r="AG98" s="305"/>
      <c r="AH98" s="305"/>
      <c r="AI98" s="305"/>
      <c r="AJ98" s="305"/>
      <c r="AK98" s="305"/>
      <c r="AL98" s="305"/>
      <c r="AM98" s="305"/>
      <c r="AN98" s="305"/>
      <c r="AO98" s="305"/>
      <c r="AP98" s="305"/>
      <c r="AQ98" s="305"/>
      <c r="AR98" s="305"/>
    </row>
    <row r="99" spans="1:44" x14ac:dyDescent="0.25">
      <c r="A99" s="305"/>
      <c r="B99" s="305"/>
      <c r="C99" s="305"/>
      <c r="D99" s="305"/>
      <c r="E99" s="305"/>
      <c r="F99" s="305"/>
      <c r="G99" s="305"/>
      <c r="H99" s="305"/>
      <c r="I99" s="305"/>
      <c r="J99" s="305"/>
      <c r="K99" s="308"/>
      <c r="L99" s="308"/>
      <c r="M99" s="308"/>
      <c r="N99" s="305"/>
      <c r="O99" s="305"/>
      <c r="P99" s="305"/>
      <c r="Q99" s="305"/>
      <c r="R99" s="305"/>
      <c r="S99" s="305"/>
      <c r="T99" s="305"/>
      <c r="U99" s="305"/>
      <c r="V99" s="305"/>
      <c r="W99" s="305"/>
      <c r="X99" s="305"/>
      <c r="Y99" s="305"/>
      <c r="Z99" s="305"/>
      <c r="AA99" s="305"/>
      <c r="AB99" s="305"/>
      <c r="AC99" s="305"/>
      <c r="AD99" s="305"/>
      <c r="AE99" s="305"/>
      <c r="AF99" s="305"/>
      <c r="AG99" s="305"/>
      <c r="AH99" s="305"/>
      <c r="AI99" s="305"/>
      <c r="AJ99" s="305"/>
      <c r="AK99" s="305"/>
      <c r="AL99" s="305"/>
      <c r="AM99" s="305"/>
      <c r="AN99" s="305"/>
      <c r="AO99" s="305"/>
      <c r="AP99" s="305"/>
      <c r="AQ99" s="305"/>
      <c r="AR99" s="305"/>
    </row>
    <row r="100" spans="1:44" x14ac:dyDescent="0.25">
      <c r="A100" s="305"/>
      <c r="B100" s="305"/>
      <c r="C100" s="305"/>
      <c r="D100" s="305"/>
      <c r="E100" s="305"/>
      <c r="F100" s="305"/>
      <c r="G100" s="305"/>
      <c r="H100" s="305"/>
      <c r="I100" s="305"/>
      <c r="J100" s="305"/>
      <c r="K100" s="308"/>
      <c r="L100" s="308"/>
      <c r="M100" s="308"/>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row>
  </sheetData>
  <mergeCells count="7">
    <mergeCell ref="C3:G3"/>
    <mergeCell ref="C4:G4"/>
    <mergeCell ref="B10:H10"/>
    <mergeCell ref="B2:H2"/>
    <mergeCell ref="B5:C8"/>
    <mergeCell ref="E5:E8"/>
    <mergeCell ref="G5:H8"/>
  </mergeCells>
  <hyperlinks>
    <hyperlink ref="F6" r:id="rId1" xr:uid="{95044EF5-ECE5-40F0-AAC7-4DC7AA661A82}"/>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Summary">
    <tabColor rgb="FFFBC65B"/>
  </sheetPr>
  <dimension ref="A1:AK137"/>
  <sheetViews>
    <sheetView showGridLines="0" zoomScale="78" workbookViewId="0">
      <pane ySplit="1" topLeftCell="A48" activePane="bottomLeft" state="frozen"/>
      <selection pane="bottomLeft" activeCell="M16" sqref="M16"/>
    </sheetView>
  </sheetViews>
  <sheetFormatPr defaultColWidth="100.7109375" defaultRowHeight="15" x14ac:dyDescent="0.25"/>
  <cols>
    <col min="1" max="1" width="5.7109375" style="1" customWidth="1"/>
    <col min="2" max="2" width="35.28515625" style="1" bestFit="1" customWidth="1"/>
    <col min="3" max="3" width="30.28515625" style="1" bestFit="1" customWidth="1"/>
    <col min="4" max="4" width="21.5703125" style="27" bestFit="1" customWidth="1"/>
    <col min="5" max="5" width="19.42578125" style="1" bestFit="1" customWidth="1"/>
    <col min="6" max="6" width="13.5703125" style="1" bestFit="1" customWidth="1"/>
    <col min="7" max="7" width="21" style="1" bestFit="1" customWidth="1"/>
    <col min="8" max="8" width="11.42578125" style="1" customWidth="1"/>
    <col min="9" max="9" width="9.85546875" style="1" bestFit="1" customWidth="1"/>
    <col min="10" max="10" width="9.140625" style="1" bestFit="1" customWidth="1"/>
    <col min="11" max="11" width="11" style="1" bestFit="1" customWidth="1"/>
    <col min="12" max="12" width="1.42578125" style="1" bestFit="1" customWidth="1"/>
    <col min="13" max="16384" width="100.7109375" style="1"/>
  </cols>
  <sheetData>
    <row r="1" spans="1:16" ht="30" customHeight="1" x14ac:dyDescent="0.25"/>
    <row r="2" spans="1:16" ht="30" customHeight="1" x14ac:dyDescent="0.25"/>
    <row r="3" spans="1:16" ht="10.5" customHeight="1" x14ac:dyDescent="0.25"/>
    <row r="4" spans="1:16" ht="18.75" customHeight="1" x14ac:dyDescent="0.25">
      <c r="A4" s="87"/>
      <c r="B4" s="416" t="s">
        <v>35</v>
      </c>
      <c r="C4" s="416"/>
      <c r="D4" s="416"/>
      <c r="E4" s="416"/>
      <c r="F4" s="416"/>
      <c r="G4" s="416"/>
      <c r="H4" s="416"/>
      <c r="I4" s="416"/>
      <c r="J4" s="416"/>
      <c r="K4" s="416"/>
    </row>
    <row r="5" spans="1:16" ht="15" customHeight="1" x14ac:dyDescent="0.25">
      <c r="B5" s="416"/>
      <c r="C5" s="416"/>
      <c r="D5" s="416"/>
      <c r="E5" s="416"/>
      <c r="F5" s="416"/>
      <c r="G5" s="416"/>
      <c r="H5" s="416"/>
      <c r="I5" s="416"/>
      <c r="J5" s="416"/>
      <c r="K5" s="416"/>
    </row>
    <row r="6" spans="1:16" s="27" customFormat="1" ht="15" customHeight="1" x14ac:dyDescent="0.25">
      <c r="B6" s="417" t="s">
        <v>36</v>
      </c>
      <c r="C6" s="417"/>
      <c r="D6" s="417"/>
      <c r="E6" s="417"/>
      <c r="F6" s="417"/>
      <c r="G6" s="417"/>
      <c r="H6" s="417"/>
      <c r="I6" s="417"/>
      <c r="J6" s="417"/>
      <c r="K6" s="417"/>
    </row>
    <row r="7" spans="1:16" s="27" customFormat="1" ht="15" customHeight="1" x14ac:dyDescent="0.25">
      <c r="B7" s="417"/>
      <c r="C7" s="417"/>
      <c r="D7" s="417"/>
      <c r="E7" s="417"/>
      <c r="F7" s="417"/>
      <c r="G7" s="417"/>
      <c r="H7" s="417"/>
      <c r="I7" s="417"/>
      <c r="J7" s="417"/>
      <c r="K7" s="417"/>
    </row>
    <row r="8" spans="1:16" s="27" customFormat="1" ht="18.75" x14ac:dyDescent="0.25">
      <c r="B8" s="421"/>
      <c r="C8" s="421"/>
      <c r="D8" s="421"/>
      <c r="E8" s="421"/>
      <c r="F8" s="421"/>
      <c r="G8" s="421"/>
      <c r="H8" s="421"/>
      <c r="I8" s="421"/>
      <c r="J8" s="421"/>
      <c r="K8" s="421"/>
    </row>
    <row r="9" spans="1:16" s="27" customFormat="1" ht="18.75" x14ac:dyDescent="0.25">
      <c r="B9" s="422" t="s">
        <v>37</v>
      </c>
      <c r="C9" s="423"/>
      <c r="D9" s="78"/>
      <c r="E9" s="415" t="s">
        <v>38</v>
      </c>
      <c r="F9" s="415"/>
      <c r="G9" s="415"/>
      <c r="H9"/>
      <c r="I9" s="415" t="s">
        <v>39</v>
      </c>
      <c r="J9" s="415"/>
      <c r="K9" s="415"/>
    </row>
    <row r="10" spans="1:16" s="27" customFormat="1" ht="18.75" x14ac:dyDescent="0.25">
      <c r="B10" s="198" t="s">
        <v>40</v>
      </c>
      <c r="C10" s="199">
        <f>SiteSpecificInputs!C5</f>
        <v>0</v>
      </c>
      <c r="D10" s="122"/>
      <c r="E10" s="198"/>
      <c r="F10" s="200" t="s">
        <v>298</v>
      </c>
      <c r="G10" s="200" t="s">
        <v>41</v>
      </c>
      <c r="H10"/>
      <c r="I10" s="200" t="s">
        <v>42</v>
      </c>
      <c r="J10" s="404" t="s">
        <v>43</v>
      </c>
      <c r="K10" s="404"/>
    </row>
    <row r="11" spans="1:16" s="27" customFormat="1" ht="15.75" x14ac:dyDescent="0.25">
      <c r="B11" s="198" t="s">
        <v>44</v>
      </c>
      <c r="C11" s="199" t="str">
        <f>CONCATENATE(SiteSpecificInputs!C6," ",SiteSpecificInputs!C7)</f>
        <v xml:space="preserve"> </v>
      </c>
      <c r="D11" s="122"/>
      <c r="E11" s="198" t="s">
        <v>45</v>
      </c>
      <c r="F11" s="201">
        <f>G11/Background!E6*Background!E7*g2MT</f>
        <v>0</v>
      </c>
      <c r="G11" s="201">
        <f>SUMPRODUCT(SiteSpecificInputs!V9:V32,SiteSpecificInputs!W9:W32)*Background!E6</f>
        <v>0</v>
      </c>
      <c r="H11"/>
      <c r="I11" s="202">
        <f>IFERROR(F12/(F12-D46*g2MT),)</f>
        <v>0</v>
      </c>
      <c r="J11" s="426">
        <f>IFERROR(F12/(F12-SUM(D47:D48)*g2MT),)</f>
        <v>0</v>
      </c>
      <c r="K11" s="426"/>
    </row>
    <row r="12" spans="1:16" s="27" customFormat="1" ht="15.75" x14ac:dyDescent="0.25">
      <c r="B12" s="198" t="s">
        <v>46</v>
      </c>
      <c r="C12" s="199">
        <f>SiteSpecificInputs!C8</f>
        <v>0</v>
      </c>
      <c r="D12" s="122"/>
      <c r="E12" s="198" t="s">
        <v>47</v>
      </c>
      <c r="F12" s="201">
        <f>G12/Background!E6*Background!E7*g2MT</f>
        <v>0</v>
      </c>
      <c r="G12" s="201">
        <f>(SUM(SiteSpecificInputs!AG9:AG32)*CH4_heat_ratio
 -SUM(SiteSpecificInputs!AE9:AE32)*NG_heat_ratio)*mmBTU2MJ
 -SUM(SiteSpecificInputs!AF9:AF32)*Background!E11</f>
        <v>0</v>
      </c>
      <c r="H12"/>
      <c r="I12"/>
      <c r="J12"/>
      <c r="K12"/>
      <c r="L12" s="132"/>
      <c r="N12" s="130"/>
    </row>
    <row r="13" spans="1:16" s="27" customFormat="1" ht="18.75" x14ac:dyDescent="0.25">
      <c r="B13" s="198" t="s">
        <v>48</v>
      </c>
      <c r="C13" s="199" t="str">
        <f>IF(SiteSpecificInputs!E9=0,"",CONCATENATE(TEXT(MIN(SiteSpecificInputs!E9:E32),"mm/yyyy")," — ",TEXT(MAX(SiteSpecificInputs!E9:E32),"mm/yyyy")))</f>
        <v/>
      </c>
      <c r="D13" s="122"/>
      <c r="H13"/>
      <c r="I13"/>
      <c r="J13"/>
      <c r="K13"/>
      <c r="L13" s="78"/>
      <c r="N13" s="130"/>
      <c r="O13" s="131"/>
      <c r="P13" s="131"/>
    </row>
    <row r="14" spans="1:16" s="27" customFormat="1" ht="15.75" x14ac:dyDescent="0.25">
      <c r="B14" s="132"/>
      <c r="C14" s="174"/>
      <c r="D14" s="122"/>
      <c r="E14" s="132"/>
      <c r="F14" s="131"/>
      <c r="G14" s="131"/>
      <c r="I14" s="133"/>
      <c r="N14" s="130"/>
      <c r="O14" s="131"/>
      <c r="P14" s="131"/>
    </row>
    <row r="15" spans="1:16" s="27" customFormat="1" ht="18.75" x14ac:dyDescent="0.25">
      <c r="B15" s="425" t="s">
        <v>49</v>
      </c>
      <c r="C15" s="425"/>
      <c r="D15" s="425"/>
      <c r="E15" s="425"/>
      <c r="F15" s="425"/>
      <c r="G15" s="425"/>
      <c r="I15" s="133"/>
      <c r="N15" s="130"/>
      <c r="O15" s="131"/>
      <c r="P15" s="131"/>
    </row>
    <row r="16" spans="1:16" s="27" customFormat="1" ht="34.5" x14ac:dyDescent="0.25">
      <c r="B16" s="427" t="s">
        <v>50</v>
      </c>
      <c r="C16" s="203" t="s">
        <v>51</v>
      </c>
      <c r="D16" s="203" t="s">
        <v>52</v>
      </c>
      <c r="E16" s="204" t="s">
        <v>53</v>
      </c>
      <c r="F16" s="203" t="s">
        <v>299</v>
      </c>
      <c r="G16" s="203" t="s">
        <v>54</v>
      </c>
      <c r="H16"/>
      <c r="I16"/>
      <c r="J16"/>
      <c r="K16"/>
      <c r="L16"/>
      <c r="M16"/>
      <c r="N16" s="130"/>
      <c r="O16" s="131"/>
      <c r="P16" s="131"/>
    </row>
    <row r="17" spans="2:17" s="27" customFormat="1" ht="18" x14ac:dyDescent="0.25">
      <c r="B17" s="428"/>
      <c r="C17" s="200" t="s">
        <v>297</v>
      </c>
      <c r="D17" s="205" t="s">
        <v>300</v>
      </c>
      <c r="E17" s="205" t="s">
        <v>300</v>
      </c>
      <c r="F17" s="205" t="s">
        <v>301</v>
      </c>
      <c r="G17" s="205" t="s">
        <v>199</v>
      </c>
      <c r="H17"/>
      <c r="I17"/>
      <c r="J17"/>
      <c r="K17"/>
      <c r="L17"/>
      <c r="M17"/>
      <c r="N17" s="130"/>
      <c r="O17" s="131"/>
      <c r="P17" s="131"/>
    </row>
    <row r="18" spans="2:17" s="27" customFormat="1" ht="15.75" x14ac:dyDescent="0.25">
      <c r="B18" s="206" t="s">
        <v>55</v>
      </c>
      <c r="C18" s="201" cm="1">
        <f t="array" ref="C18">SUMPRODUCT(SiteSpecificInputs!F9:F32-SiteSpecificInputs!G9:G32,1-SiteSpecificInputs!H9:H32)</f>
        <v>0</v>
      </c>
      <c r="D18" s="201">
        <f>C18*AvoidedEmissions!G133</f>
        <v>0</v>
      </c>
      <c r="E18" s="201" cm="1">
        <f t="array" ref="E18">IFERROR((AVERAGE(AvoidedEmissions!I133,AvoidedEmissions!K133)*C18*AvoidedEmissions!H21+SUM(SiteSpecificInputs!F9:F32-SiteSpecificInputs!G9:G32)*T2kg*AvoidedEmissions!F21*g2MT*AvoidedEmissions!I21),)</f>
        <v>0</v>
      </c>
      <c r="F18" s="207" cm="1">
        <f t="array" ref="F18">IFERROR(SUM(SiteSpecificInputs!F9:F32-SiteSpecificInputs!G9:G32)*T2kg*AvoidedEmissions!F22*g2MT*AvoidedEmissions!I21,)</f>
        <v>0</v>
      </c>
      <c r="G18" s="201">
        <f>C18*(AvoidedEmissions!G133-AVERAGE(AvoidedEmissions!I133,AvoidedEmissions!K133))*MT2g/Background!E7*Background!E6*MJ2mmBtu</f>
        <v>0</v>
      </c>
      <c r="H18"/>
      <c r="I18"/>
      <c r="J18"/>
      <c r="K18"/>
      <c r="L18"/>
      <c r="M18"/>
      <c r="N18" s="130"/>
      <c r="O18" s="131"/>
      <c r="P18" s="131"/>
    </row>
    <row r="19" spans="2:17" s="27" customFormat="1" ht="15.75" x14ac:dyDescent="0.25">
      <c r="B19" s="206" t="s">
        <v>56</v>
      </c>
      <c r="C19" s="201" cm="1">
        <f t="array" ref="C19">SUMPRODUCT(SiteSpecificInputs!J9:J32-SiteSpecificInputs!K9:K32,1-SiteSpecificInputs!L9:L32)</f>
        <v>0</v>
      </c>
      <c r="D19" s="201">
        <f>C19*AvoidedEmissions!G240</f>
        <v>0</v>
      </c>
      <c r="E19" s="201" cm="1">
        <f t="array" ref="E19">IFERROR((AVERAGE(AvoidedEmissions!I240,AvoidedEmissions!K240)*C19*AvoidedEmissions!H22+
SUM(SiteSpecificInputs!J9:J32-SiteSpecificInputs!K9:K32)*T2kg*AvoidedEmissions!F21*g2MT*AvoidedEmissions!I22),)</f>
        <v>0</v>
      </c>
      <c r="F19" s="207" cm="1">
        <f t="array" ref="F19">IFERROR(SUM(SiteSpecificInputs!J9:J32-SiteSpecificInputs!K9:K32)*T2kg*AvoidedEmissions!F22*g2MT*AvoidedEmissions!I22,)</f>
        <v>0</v>
      </c>
      <c r="G19" s="201">
        <f>C19*(AvoidedEmissions!G240-AVERAGE(AvoidedEmissions!I240,AvoidedEmissions!K240))*MT2g/Background!E7*Background!E6*MJ2mmBtu</f>
        <v>0</v>
      </c>
      <c r="H19"/>
      <c r="I19"/>
      <c r="J19"/>
      <c r="K19"/>
      <c r="L19"/>
      <c r="M19"/>
      <c r="N19" s="130"/>
      <c r="O19" s="131"/>
      <c r="P19" s="131"/>
    </row>
    <row r="20" spans="2:17" s="27" customFormat="1" ht="15.75" x14ac:dyDescent="0.25">
      <c r="B20" s="206" t="s">
        <v>57</v>
      </c>
      <c r="C20" s="201" cm="1">
        <f t="array" ref="C20">SUMPRODUCT(SiteSpecificInputs!N9:N32-SiteSpecificInputs!O9:O32,1-SiteSpecificInputs!P9:P32)</f>
        <v>0</v>
      </c>
      <c r="D20" s="207">
        <f>C20*AvoidedEmissions!G347</f>
        <v>0</v>
      </c>
      <c r="E20" s="201">
        <f>IFERROR(C20*AVERAGE(AvoidedEmissions!I347,AvoidedEmissions!K347),)</f>
        <v>0</v>
      </c>
      <c r="F20" s="207"/>
      <c r="G20" s="201">
        <f>C20*(AvoidedEmissions!G347-AVERAGE(AvoidedEmissions!I347,AvoidedEmissions!K347))*MT2g/Background!E7*Background!E6*MJ2mmBtu</f>
        <v>0</v>
      </c>
      <c r="H20"/>
      <c r="I20"/>
      <c r="J20"/>
      <c r="K20"/>
      <c r="L20"/>
      <c r="M20"/>
      <c r="N20" s="130"/>
      <c r="O20" s="131"/>
      <c r="P20" s="131"/>
    </row>
    <row r="21" spans="2:17" s="27" customFormat="1" ht="16.5" thickBot="1" x14ac:dyDescent="0.3">
      <c r="B21" s="208" t="s">
        <v>58</v>
      </c>
      <c r="C21" s="209" cm="1">
        <f t="array" ref="C21">SUMPRODUCT(SiteSpecificInputs!R9:R32-SiteSpecificInputs!S9:S32,1-SiteSpecificInputs!T9:T32)</f>
        <v>0</v>
      </c>
      <c r="D21" s="210">
        <f>IFERROR(C21*AvoidedEmissions!G454,)</f>
        <v>0</v>
      </c>
      <c r="E21" s="210" cm="1">
        <f t="array" ref="E21">IFERROR((AVERAGE(AvoidedEmissions!I454,AvoidedEmissions!K454)*C21*SiteSpecificInputs!C30+SUM(SiteSpecificInputs!R9:R32-SiteSpecificInputs!S9:S32)*T2kg*AvoidedEmissions!F21*g2MT*SiteSpecificInputs!C31),)</f>
        <v>0</v>
      </c>
      <c r="F21" s="210" cm="1">
        <f t="array" ref="F21">IFERROR(SUM(SiteSpecificInputs!R9:R32-SiteSpecificInputs!S9:S32)*T2kg*AvoidedEmissions!F22*g2MT*SiteSpecificInputs!C31,)</f>
        <v>0</v>
      </c>
      <c r="G21" s="209">
        <f>IFERROR(C21*(AvoidedEmissions!G454-AVERAGE(AvoidedEmissions!I454,AvoidedEmissions!K454))*MT2g/Background!E7*Background!E6*MJ2mmBtu,)</f>
        <v>0</v>
      </c>
      <c r="H21"/>
      <c r="I21"/>
      <c r="J21"/>
      <c r="K21"/>
      <c r="L21"/>
      <c r="M21"/>
      <c r="N21" s="130"/>
      <c r="O21" s="131"/>
      <c r="P21" s="131"/>
    </row>
    <row r="22" spans="2:17" s="27" customFormat="1" ht="16.5" thickTop="1" x14ac:dyDescent="0.25">
      <c r="B22" s="211" t="s">
        <v>59</v>
      </c>
      <c r="C22" s="212">
        <f>SUM(C18:C21)</f>
        <v>0</v>
      </c>
      <c r="D22" s="212">
        <f>SUM(D18:D21)</f>
        <v>0</v>
      </c>
      <c r="E22" s="212">
        <f>IFERROR(SUM(E18:E21)*MIN(PathwaySummary!F11/SUM(D18:D21),1),)</f>
        <v>0</v>
      </c>
      <c r="F22" s="213">
        <f>IFERROR(SUM(F18:F21)*MIN(PathwaySummary!F11/SUM(D18:D21),1),)</f>
        <v>0</v>
      </c>
      <c r="G22" s="212">
        <f>IFERROR(SUM(G18:G21)*MIN(PathwaySummary!F11/SUM(D18:D21),1),)</f>
        <v>0</v>
      </c>
      <c r="H22"/>
      <c r="I22"/>
      <c r="J22"/>
      <c r="K22"/>
      <c r="L22"/>
      <c r="M22"/>
      <c r="N22" s="130"/>
      <c r="O22" s="131"/>
      <c r="P22" s="131"/>
    </row>
    <row r="23" spans="2:17" s="27" customFormat="1" ht="15.75" x14ac:dyDescent="0.25">
      <c r="B23" s="132"/>
      <c r="C23" s="174"/>
      <c r="D23" s="122"/>
      <c r="E23" s="132"/>
      <c r="F23" s="131"/>
      <c r="G23" s="131"/>
      <c r="I23" s="133"/>
      <c r="N23" s="130"/>
      <c r="O23" s="131"/>
      <c r="P23" s="131"/>
    </row>
    <row r="24" spans="2:17" s="27" customFormat="1" ht="18.75" x14ac:dyDescent="0.25">
      <c r="B24" s="415" t="s">
        <v>60</v>
      </c>
      <c r="C24" s="415"/>
      <c r="D24" s="415"/>
      <c r="E24" s="415"/>
      <c r="F24" s="415"/>
      <c r="G24" s="415"/>
      <c r="H24" s="415"/>
      <c r="I24" s="415"/>
      <c r="J24" s="415"/>
      <c r="K24" s="415"/>
      <c r="M24" s="125"/>
    </row>
    <row r="25" spans="2:17" s="27" customFormat="1" ht="15.75" x14ac:dyDescent="0.25">
      <c r="B25" s="404" t="s">
        <v>61</v>
      </c>
      <c r="C25" s="404"/>
      <c r="D25" s="404"/>
      <c r="E25" s="404"/>
      <c r="F25" s="404" t="s">
        <v>62</v>
      </c>
      <c r="G25" s="404"/>
      <c r="H25" s="203" t="s">
        <v>63</v>
      </c>
      <c r="I25" s="405" t="s">
        <v>201</v>
      </c>
      <c r="J25" s="406"/>
      <c r="K25" s="407"/>
      <c r="M25" s="125"/>
    </row>
    <row r="26" spans="2:17" s="27" customFormat="1" ht="15.75" x14ac:dyDescent="0.25">
      <c r="B26" s="200" t="s">
        <v>64</v>
      </c>
      <c r="C26" s="200" t="s">
        <v>65</v>
      </c>
      <c r="D26" s="214" t="s">
        <v>66</v>
      </c>
      <c r="E26" s="200" t="s">
        <v>67</v>
      </c>
      <c r="F26" s="214" t="s">
        <v>66</v>
      </c>
      <c r="G26" s="215" t="s">
        <v>67</v>
      </c>
      <c r="H26" s="203" t="s">
        <v>202</v>
      </c>
      <c r="I26" s="203" t="s">
        <v>68</v>
      </c>
      <c r="J26" s="203" t="s">
        <v>69</v>
      </c>
      <c r="K26" s="203" t="s">
        <v>70</v>
      </c>
      <c r="M26" s="125"/>
      <c r="P26" s="10"/>
      <c r="Q26" s="10"/>
    </row>
    <row r="27" spans="2:17" s="27" customFormat="1" ht="18" customHeight="1" x14ac:dyDescent="0.25">
      <c r="B27" s="429" t="s">
        <v>49</v>
      </c>
      <c r="C27" s="85" t="s">
        <v>71</v>
      </c>
      <c r="D27" s="201">
        <f>-E22*MT2g</f>
        <v>0</v>
      </c>
      <c r="E27" s="152" t="s">
        <v>72</v>
      </c>
      <c r="F27" s="216">
        <f>GWP_CH4</f>
        <v>30</v>
      </c>
      <c r="G27" s="154" t="s">
        <v>203</v>
      </c>
      <c r="H27" s="201">
        <f>D27*F27</f>
        <v>0</v>
      </c>
      <c r="I27" s="217">
        <f>IFERROR(H27/G12/I11,)</f>
        <v>0</v>
      </c>
      <c r="J27" s="217">
        <f>IFERROR(H27/G12/J11,)</f>
        <v>0</v>
      </c>
      <c r="K27" s="217">
        <f>IFERROR(H27/G12/J11,)</f>
        <v>0</v>
      </c>
      <c r="M27" s="125"/>
      <c r="P27" s="10"/>
      <c r="Q27" s="10"/>
    </row>
    <row r="28" spans="2:17" s="27" customFormat="1" ht="18" customHeight="1" x14ac:dyDescent="0.25">
      <c r="B28" s="429"/>
      <c r="C28" s="85" t="s">
        <v>73</v>
      </c>
      <c r="D28" s="201">
        <f>-F22*MT2g</f>
        <v>0</v>
      </c>
      <c r="E28" s="152" t="s">
        <v>74</v>
      </c>
      <c r="F28" s="216">
        <f>GWP_N2O</f>
        <v>265</v>
      </c>
      <c r="G28" s="154" t="s">
        <v>204</v>
      </c>
      <c r="H28" s="201">
        <f>D28*F28</f>
        <v>0</v>
      </c>
      <c r="I28" s="217">
        <f>IFERROR(H28/G12/I11,)</f>
        <v>0</v>
      </c>
      <c r="J28" s="217">
        <f>IFERROR(H28/G12/J11,)</f>
        <v>0</v>
      </c>
      <c r="K28" s="217">
        <f>IFERROR(H28/G12/J11,)</f>
        <v>0</v>
      </c>
      <c r="M28" s="125"/>
      <c r="P28" s="10"/>
      <c r="Q28" s="10"/>
    </row>
    <row r="29" spans="2:17" s="9" customFormat="1" ht="18" customHeight="1" x14ac:dyDescent="0.25">
      <c r="B29" s="429"/>
      <c r="C29" s="85" t="s">
        <v>75</v>
      </c>
      <c r="D29" s="201">
        <f>-G22</f>
        <v>0</v>
      </c>
      <c r="E29" s="175" t="s">
        <v>199</v>
      </c>
      <c r="F29" s="216">
        <f>Background!E20</f>
        <v>1117.4749999999999</v>
      </c>
      <c r="G29" s="154" t="s">
        <v>205</v>
      </c>
      <c r="H29" s="201">
        <f>D29*F29</f>
        <v>0</v>
      </c>
      <c r="I29" s="217">
        <f>IFERROR(H29/G12/I11,)</f>
        <v>0</v>
      </c>
      <c r="J29" s="217">
        <f>IFERROR(H29/G12/J11,)</f>
        <v>0</v>
      </c>
      <c r="K29" s="217">
        <f>IFERROR(H29/G12/J11,)</f>
        <v>0</v>
      </c>
      <c r="L29" s="9" t="s">
        <v>76</v>
      </c>
    </row>
    <row r="30" spans="2:17" s="9" customFormat="1" ht="18" customHeight="1" x14ac:dyDescent="0.25">
      <c r="B30" s="429"/>
      <c r="C30" s="136" t="s">
        <v>77</v>
      </c>
      <c r="D30" s="218">
        <f>-(D27+D29*Background!E21)*Background!E14/Background!E13</f>
        <v>0</v>
      </c>
      <c r="E30" s="137" t="s">
        <v>78</v>
      </c>
      <c r="F30" s="218">
        <v>1</v>
      </c>
      <c r="G30" s="138" t="s">
        <v>206</v>
      </c>
      <c r="H30" s="218">
        <f>D30*F30</f>
        <v>0</v>
      </c>
      <c r="I30" s="219">
        <f>IFERROR(H30/G12/I11,)</f>
        <v>0</v>
      </c>
      <c r="J30" s="219">
        <f>IFERROR(H30/G12/J11,)</f>
        <v>0</v>
      </c>
      <c r="K30" s="219">
        <f>IFERROR(H30/G12/J11,)</f>
        <v>0</v>
      </c>
    </row>
    <row r="31" spans="2:17" s="9" customFormat="1" ht="18" customHeight="1" x14ac:dyDescent="0.25">
      <c r="B31" s="116" t="s">
        <v>79</v>
      </c>
      <c r="C31" s="85" t="s">
        <v>80</v>
      </c>
      <c r="D31" s="201">
        <f>SUMPRODUCT(SiteSpecificInputs!F9:F32,SiteSpecificInputs!I9:I32)+SUMPRODUCT(SiteSpecificInputs!J9:J32,SiteSpecificInputs!M9:M32)+SUMPRODUCT(SiteSpecificInputs!N9:N32,SiteSpecificInputs!Q9:Q32)+SUMPRODUCT(SiteSpecificInputs!R9:R32,SiteSpecificInputs!U9:U32)</f>
        <v>0</v>
      </c>
      <c r="E31" s="152" t="s">
        <v>81</v>
      </c>
      <c r="F31" s="216">
        <f>Background!E15</f>
        <v>166.83529326971836</v>
      </c>
      <c r="G31" s="121" t="s">
        <v>207</v>
      </c>
      <c r="H31" s="201">
        <f t="shared" ref="H31:H49" si="0">D31*F31</f>
        <v>0</v>
      </c>
      <c r="I31" s="217">
        <f>IFERROR(H31/G12/I11,)</f>
        <v>0</v>
      </c>
      <c r="J31" s="217">
        <f>IFERROR(H31/G12/J11,)</f>
        <v>0</v>
      </c>
      <c r="K31" s="217">
        <f>IFERROR(H31/G12/J11,)</f>
        <v>0</v>
      </c>
    </row>
    <row r="32" spans="2:17" s="9" customFormat="1" ht="18" customHeight="1" x14ac:dyDescent="0.25">
      <c r="B32" s="424" t="s">
        <v>15</v>
      </c>
      <c r="C32" s="85" t="str">
        <f>SiteSpecificInputs!X7</f>
        <v>Biogas Combusted Onsite</v>
      </c>
      <c r="D32" s="201">
        <f>SUMPRODUCT(SiteSpecificInputs!W9:W32,SiteSpecificInputs!X9:X32)*Background!E6*MJ2mmBtu</f>
        <v>0</v>
      </c>
      <c r="E32" s="152" t="s">
        <v>199</v>
      </c>
      <c r="F32" s="216">
        <f>Background!E16</f>
        <v>161.12730101692432</v>
      </c>
      <c r="G32" s="118" t="s">
        <v>205</v>
      </c>
      <c r="H32" s="201">
        <f t="shared" si="0"/>
        <v>0</v>
      </c>
      <c r="I32" s="217">
        <f>IFERROR(H32/G12/I11,)</f>
        <v>0</v>
      </c>
      <c r="J32" s="217">
        <f>IFERROR(H32/G12/J11,)</f>
        <v>0</v>
      </c>
      <c r="K32" s="217">
        <f>IFERROR(H32/G12/J11,)</f>
        <v>0</v>
      </c>
    </row>
    <row r="33" spans="2:17" s="9" customFormat="1" ht="18" customHeight="1" x14ac:dyDescent="0.25">
      <c r="B33" s="424"/>
      <c r="C33" s="85">
        <f>SiteSpecificInputs!Y7</f>
        <v>0</v>
      </c>
      <c r="D33" s="201">
        <f>SUM(SiteSpecificInputs!Y9:Y32)*NG_heat_ratio</f>
        <v>0</v>
      </c>
      <c r="E33" s="107" t="s">
        <v>199</v>
      </c>
      <c r="F33" s="216">
        <f>Background!E17</f>
        <v>72949.532731448708</v>
      </c>
      <c r="G33" s="118" t="s">
        <v>205</v>
      </c>
      <c r="H33" s="201">
        <f t="shared" si="0"/>
        <v>0</v>
      </c>
      <c r="I33" s="217">
        <f>IFERROR(H33/G12/I11,)</f>
        <v>0</v>
      </c>
      <c r="J33" s="217">
        <f>IFERROR(H33/G12/J11,)</f>
        <v>0</v>
      </c>
      <c r="K33" s="217">
        <f>IFERROR(H33/G12/J11,)</f>
        <v>0</v>
      </c>
    </row>
    <row r="34" spans="2:17" s="9" customFormat="1" ht="18" customHeight="1" x14ac:dyDescent="0.25">
      <c r="B34" s="424"/>
      <c r="C34" s="85">
        <f>SiteSpecificInputs!Z7</f>
        <v>0</v>
      </c>
      <c r="D34" s="201">
        <f>SUM(SiteSpecificInputs!Z9:Z32)</f>
        <v>0</v>
      </c>
      <c r="E34" s="107">
        <f>SiteSpecificInputs!Z8</f>
        <v>0</v>
      </c>
      <c r="F34" s="201">
        <f>SiteSpecificInputs!C22</f>
        <v>608.76119197218861</v>
      </c>
      <c r="G34" s="118" t="s">
        <v>208</v>
      </c>
      <c r="H34" s="201">
        <f t="shared" si="0"/>
        <v>0</v>
      </c>
      <c r="I34" s="217">
        <f>IFERROR(H34/G12/I11,)</f>
        <v>0</v>
      </c>
      <c r="J34" s="217">
        <f>IFERROR(H34/G12/J11,)</f>
        <v>0</v>
      </c>
      <c r="K34" s="217">
        <f>IFERROR(H34/G12/J11,)</f>
        <v>0</v>
      </c>
      <c r="L34" s="109"/>
    </row>
    <row r="35" spans="2:17" s="9" customFormat="1" ht="18" customHeight="1" x14ac:dyDescent="0.25">
      <c r="B35" s="424"/>
      <c r="C35" s="85" t="str">
        <f>SiteSpecificInputs!AA7</f>
        <v>Low-CI Electricity</v>
      </c>
      <c r="D35" s="201">
        <f>SUM(SiteSpecificInputs!AA9:AA32)</f>
        <v>0</v>
      </c>
      <c r="E35" s="107" t="s">
        <v>31</v>
      </c>
      <c r="F35" s="201">
        <f>SiteSpecificInputs!C23</f>
        <v>0</v>
      </c>
      <c r="G35" s="118" t="s">
        <v>208</v>
      </c>
      <c r="H35" s="201">
        <f t="shared" si="0"/>
        <v>0</v>
      </c>
      <c r="I35" s="217">
        <f>IFERROR(H35/G12/I11,)</f>
        <v>0</v>
      </c>
      <c r="J35" s="217">
        <f>IFERROR(H35/G12/J11,)</f>
        <v>0</v>
      </c>
      <c r="K35" s="217">
        <f>IFERROR(H35/G12/J11,)</f>
        <v>0</v>
      </c>
      <c r="L35" s="109"/>
    </row>
    <row r="36" spans="2:17" s="27" customFormat="1" ht="18" customHeight="1" x14ac:dyDescent="0.25">
      <c r="B36" s="424"/>
      <c r="C36" s="86" t="str">
        <f>SiteSpecificInputs!AB7</f>
        <v>LPG or Propane</v>
      </c>
      <c r="D36" s="201">
        <f>SUM(SiteSpecificInputs!AB9:AB32)</f>
        <v>0</v>
      </c>
      <c r="E36" s="107" t="s">
        <v>32</v>
      </c>
      <c r="F36" s="216">
        <f>Background!E18</f>
        <v>7106.9160761206949</v>
      </c>
      <c r="G36" s="118" t="s">
        <v>209</v>
      </c>
      <c r="H36" s="201">
        <f t="shared" si="0"/>
        <v>0</v>
      </c>
      <c r="I36" s="217">
        <f>IFERROR(H36/G12/I11,)</f>
        <v>0</v>
      </c>
      <c r="J36" s="217">
        <f>IFERROR(H36/G12/J11,)</f>
        <v>0</v>
      </c>
      <c r="K36" s="217">
        <f>IFERROR(H36/G12/J11,)</f>
        <v>0</v>
      </c>
    </row>
    <row r="37" spans="2:17" s="27" customFormat="1" ht="18" customHeight="1" x14ac:dyDescent="0.25">
      <c r="B37" s="424"/>
      <c r="C37" s="85" t="str">
        <f>SiteSpecificInputs!AC7</f>
        <v>Diesel</v>
      </c>
      <c r="D37" s="201">
        <f>SUM(SiteSpecificInputs!AC9:AC32)</f>
        <v>0</v>
      </c>
      <c r="E37" s="107" t="s">
        <v>32</v>
      </c>
      <c r="F37" s="216">
        <f>Background!E19</f>
        <v>12707.328455442075</v>
      </c>
      <c r="G37" s="118" t="s">
        <v>209</v>
      </c>
      <c r="H37" s="201">
        <f t="shared" si="0"/>
        <v>0</v>
      </c>
      <c r="I37" s="217">
        <f>IFERROR(H37/G12/I11,)</f>
        <v>0</v>
      </c>
      <c r="J37" s="217">
        <f>IFERROR(H37/G12/J11,)</f>
        <v>0</v>
      </c>
      <c r="K37" s="217">
        <f>IFERROR(H37/G12/J11,)</f>
        <v>0</v>
      </c>
      <c r="M37" s="128"/>
      <c r="N37" s="10"/>
      <c r="O37" s="10"/>
      <c r="P37" s="10"/>
      <c r="Q37" s="10"/>
    </row>
    <row r="38" spans="2:17" s="27" customFormat="1" ht="18" customHeight="1" x14ac:dyDescent="0.25">
      <c r="B38" s="150" t="s">
        <v>82</v>
      </c>
      <c r="C38" s="85" t="str">
        <f>SiteSpecificInputs!AD7</f>
        <v>Flared Gas</v>
      </c>
      <c r="D38" s="201">
        <f>SUM(SiteSpecificInputs!AD9:AD32)*CH4_heat_ratio</f>
        <v>0</v>
      </c>
      <c r="E38" s="107" t="s">
        <v>199</v>
      </c>
      <c r="F38" s="216">
        <f>Background!E20</f>
        <v>1117.4749999999999</v>
      </c>
      <c r="G38" s="118" t="s">
        <v>205</v>
      </c>
      <c r="H38" s="201">
        <f t="shared" si="0"/>
        <v>0</v>
      </c>
      <c r="I38" s="217">
        <f>IFERROR(H38/G12/I11,)</f>
        <v>0</v>
      </c>
      <c r="J38" s="217">
        <f>IFERROR(H38/G12/J11,)</f>
        <v>0</v>
      </c>
      <c r="K38" s="217">
        <f>IFERROR(H38/G12/J11,)</f>
        <v>0</v>
      </c>
      <c r="M38" s="128"/>
      <c r="N38" s="10"/>
      <c r="O38" s="10"/>
      <c r="P38" s="10"/>
      <c r="Q38" s="10"/>
    </row>
    <row r="39" spans="2:17" s="27" customFormat="1" ht="18" customHeight="1" x14ac:dyDescent="0.25">
      <c r="B39" s="418" t="s">
        <v>83</v>
      </c>
      <c r="C39" s="85" t="s">
        <v>84</v>
      </c>
      <c r="D39" s="201">
        <f>G12*SiteSpecificInputs!C24</f>
        <v>0</v>
      </c>
      <c r="E39" s="107" t="s">
        <v>85</v>
      </c>
      <c r="F39" s="220">
        <f>Background!E24</f>
        <v>6.5278965344693178E-3</v>
      </c>
      <c r="G39" s="121" t="s">
        <v>210</v>
      </c>
      <c r="H39" s="201">
        <f t="shared" si="0"/>
        <v>0</v>
      </c>
      <c r="I39" s="217">
        <f>IFERROR(H39/G12/I11,)</f>
        <v>0</v>
      </c>
      <c r="J39" s="134"/>
      <c r="K39" s="135"/>
      <c r="M39" s="128"/>
      <c r="N39" s="10"/>
      <c r="O39" s="10"/>
      <c r="P39" s="10"/>
      <c r="Q39" s="10"/>
    </row>
    <row r="40" spans="2:17" s="27" customFormat="1" ht="18" customHeight="1" x14ac:dyDescent="0.25">
      <c r="B40" s="419"/>
      <c r="C40" s="85" t="s">
        <v>86</v>
      </c>
      <c r="D40" s="201">
        <f>G12*SiteSpecificInputs!C26</f>
        <v>0</v>
      </c>
      <c r="E40" s="107" t="s">
        <v>85</v>
      </c>
      <c r="F40" s="220">
        <f>Background!E24</f>
        <v>6.5278965344693178E-3</v>
      </c>
      <c r="G40" s="121" t="s">
        <v>210</v>
      </c>
      <c r="H40" s="201">
        <f t="shared" si="0"/>
        <v>0</v>
      </c>
      <c r="I40" s="135"/>
      <c r="J40" s="217">
        <f>IFERROR(H40/G12/J11,)</f>
        <v>0</v>
      </c>
      <c r="K40" s="217">
        <f>IFERROR(H40/G12/J11,)</f>
        <v>0</v>
      </c>
      <c r="M40" s="128"/>
      <c r="N40" s="10"/>
      <c r="O40" s="10"/>
      <c r="P40" s="10"/>
      <c r="Q40" s="10"/>
    </row>
    <row r="41" spans="2:17" s="27" customFormat="1" ht="18" customHeight="1" x14ac:dyDescent="0.25">
      <c r="B41" s="418" t="s">
        <v>87</v>
      </c>
      <c r="C41" s="89" t="s">
        <v>88</v>
      </c>
      <c r="D41" s="201">
        <f>IF(SiteSpecificInputs!C27="",,PathwaySummary!G12)</f>
        <v>0</v>
      </c>
      <c r="E41" s="108" t="s">
        <v>89</v>
      </c>
      <c r="F41" s="201">
        <f>SiteSpecificInputs!C27/Background!E10</f>
        <v>0</v>
      </c>
      <c r="G41" s="120" t="s">
        <v>211</v>
      </c>
      <c r="H41" s="201">
        <f t="shared" si="0"/>
        <v>0</v>
      </c>
      <c r="I41" s="135"/>
      <c r="J41" s="217">
        <f>IFERROR(H41/G12/J11,)</f>
        <v>0</v>
      </c>
      <c r="K41" s="217">
        <f>IFERROR(H41/G12/J11,)</f>
        <v>0</v>
      </c>
      <c r="M41" s="128"/>
      <c r="N41" s="128"/>
      <c r="O41" s="9"/>
      <c r="P41" s="9"/>
      <c r="Q41" s="9"/>
    </row>
    <row r="42" spans="2:17" s="27" customFormat="1" ht="18" customHeight="1" x14ac:dyDescent="0.25">
      <c r="B42" s="419"/>
      <c r="C42" s="89" t="s">
        <v>90</v>
      </c>
      <c r="D42" s="201">
        <f>IF(SiteSpecificInputs!C27="",,PathwaySummary!G12)</f>
        <v>0</v>
      </c>
      <c r="E42" s="108" t="s">
        <v>89</v>
      </c>
      <c r="F42" s="201">
        <f>SiteSpecificInputs!C28*Background!E25</f>
        <v>0</v>
      </c>
      <c r="G42" s="120" t="s">
        <v>211</v>
      </c>
      <c r="H42" s="201">
        <f t="shared" si="0"/>
        <v>0</v>
      </c>
      <c r="I42" s="135"/>
      <c r="J42" s="217">
        <f>IFERROR(H42/G12/J11,)</f>
        <v>0</v>
      </c>
      <c r="K42" s="217">
        <f>IFERROR(H42/G12/J11,)</f>
        <v>0</v>
      </c>
      <c r="M42" s="128"/>
      <c r="N42" s="128"/>
      <c r="O42" s="9"/>
      <c r="P42" s="9"/>
      <c r="Q42" s="9"/>
    </row>
    <row r="43" spans="2:17" s="27" customFormat="1" ht="18" customHeight="1" x14ac:dyDescent="0.25">
      <c r="B43" s="150" t="s">
        <v>91</v>
      </c>
      <c r="C43" s="89" t="s">
        <v>92</v>
      </c>
      <c r="D43" s="201">
        <f>IFERROR(G12/I11,)</f>
        <v>0</v>
      </c>
      <c r="E43" s="108" t="s">
        <v>93</v>
      </c>
      <c r="F43" s="221">
        <f>Background!E28</f>
        <v>2.9843495091195451</v>
      </c>
      <c r="G43" s="118" t="s">
        <v>212</v>
      </c>
      <c r="H43" s="201">
        <f t="shared" si="0"/>
        <v>0</v>
      </c>
      <c r="I43" s="217">
        <f>IFERROR(H43/G12/I11,)</f>
        <v>0</v>
      </c>
      <c r="J43" s="134"/>
      <c r="K43" s="217">
        <f>IFERROR(H43/G12/J11,)</f>
        <v>0</v>
      </c>
      <c r="N43" s="9"/>
      <c r="O43" s="9"/>
      <c r="P43" s="9"/>
      <c r="Q43" s="9"/>
    </row>
    <row r="44" spans="2:17" s="27" customFormat="1" ht="18" customHeight="1" x14ac:dyDescent="0.25">
      <c r="B44" s="418" t="s">
        <v>94</v>
      </c>
      <c r="C44" s="89" t="s">
        <v>95</v>
      </c>
      <c r="D44" s="201">
        <f>F11*Background!E22*MT2g</f>
        <v>0</v>
      </c>
      <c r="E44" s="107" t="s">
        <v>72</v>
      </c>
      <c r="F44" s="222">
        <f>GWP_CH4</f>
        <v>30</v>
      </c>
      <c r="G44" s="118" t="s">
        <v>213</v>
      </c>
      <c r="H44" s="201">
        <f t="shared" si="0"/>
        <v>0</v>
      </c>
      <c r="I44" s="217">
        <f>IFERROR(H44/G12/I11,)</f>
        <v>0</v>
      </c>
      <c r="J44" s="217">
        <f>IFERROR(H44/G12/J11,)</f>
        <v>0</v>
      </c>
      <c r="K44" s="217">
        <f>IFERROR(H44/G12/J11,)</f>
        <v>0</v>
      </c>
      <c r="M44" s="147"/>
      <c r="N44" s="128"/>
      <c r="O44" s="9"/>
      <c r="P44" s="9"/>
      <c r="Q44" s="9"/>
    </row>
    <row r="45" spans="2:17" s="27" customFormat="1" ht="18" customHeight="1" x14ac:dyDescent="0.25">
      <c r="B45" s="420"/>
      <c r="C45" s="89" t="s">
        <v>96</v>
      </c>
      <c r="D45" s="201">
        <f>MAX(F11*MT2g-(D32+D38)*mmBTU2MJ/Background!E6*Background!E7-F12*MT2g,F11*MT2g*Background!E22)</f>
        <v>0</v>
      </c>
      <c r="E45" s="107" t="s">
        <v>72</v>
      </c>
      <c r="F45" s="222">
        <f>GWP_CH4</f>
        <v>30</v>
      </c>
      <c r="G45" s="118" t="s">
        <v>213</v>
      </c>
      <c r="H45" s="201">
        <f t="shared" si="0"/>
        <v>0</v>
      </c>
      <c r="I45" s="217">
        <f>IFERROR(H45/G12/I11,)</f>
        <v>0</v>
      </c>
      <c r="J45" s="217">
        <f>IFERROR(H45/G12/J11,)</f>
        <v>0</v>
      </c>
      <c r="K45" s="217">
        <f>IFERROR(H45/G12/J11,)</f>
        <v>0</v>
      </c>
      <c r="M45" s="147"/>
      <c r="N45" s="128"/>
      <c r="O45" s="9"/>
      <c r="P45" s="9"/>
      <c r="Q45" s="9"/>
    </row>
    <row r="46" spans="2:17" s="27" customFormat="1" ht="18" customHeight="1" x14ac:dyDescent="0.25">
      <c r="B46" s="420"/>
      <c r="C46" s="89" t="s">
        <v>97</v>
      </c>
      <c r="D46" s="201">
        <f>F12*MT2g*Background!E23*SiteSpecificInputs!C24</f>
        <v>0</v>
      </c>
      <c r="E46" s="107" t="s">
        <v>72</v>
      </c>
      <c r="F46" s="222">
        <f>GWP_CH4</f>
        <v>30</v>
      </c>
      <c r="G46" s="118" t="s">
        <v>213</v>
      </c>
      <c r="H46" s="201">
        <f t="shared" si="0"/>
        <v>0</v>
      </c>
      <c r="I46" s="217">
        <f>IFERROR(H46/G12/I11,)</f>
        <v>0</v>
      </c>
      <c r="J46" s="134"/>
      <c r="K46" s="135"/>
      <c r="M46" s="147"/>
      <c r="N46" s="128"/>
      <c r="O46" s="9"/>
      <c r="P46" s="9"/>
      <c r="Q46" s="9"/>
    </row>
    <row r="47" spans="2:17" s="27" customFormat="1" ht="18" customHeight="1" x14ac:dyDescent="0.25">
      <c r="B47" s="420"/>
      <c r="C47" s="89" t="s">
        <v>98</v>
      </c>
      <c r="D47" s="201">
        <f>F12*MT2g*Background!E23*SiteSpecificInputs!C26</f>
        <v>0</v>
      </c>
      <c r="E47" s="107" t="s">
        <v>72</v>
      </c>
      <c r="F47" s="222">
        <f>GWP_CH4</f>
        <v>30</v>
      </c>
      <c r="G47" s="118" t="s">
        <v>213</v>
      </c>
      <c r="H47" s="201">
        <f t="shared" si="0"/>
        <v>0</v>
      </c>
      <c r="I47" s="135"/>
      <c r="J47" s="217">
        <f>IFERROR(H47/G12/J11,)</f>
        <v>0</v>
      </c>
      <c r="K47" s="217">
        <f>IFERROR(H47/G12/J11,)</f>
        <v>0</v>
      </c>
      <c r="M47" s="147"/>
      <c r="N47" s="128"/>
      <c r="O47" s="9"/>
      <c r="P47" s="9"/>
      <c r="Q47" s="9"/>
    </row>
    <row r="48" spans="2:17" s="27" customFormat="1" ht="18" customHeight="1" x14ac:dyDescent="0.25">
      <c r="B48" s="420"/>
      <c r="C48" s="89" t="s">
        <v>99</v>
      </c>
      <c r="D48" s="201">
        <f>F12*MT2g*IF(SiteSpecificInputs!C29="Boil-Off Recovery Equipped",Background!E26,Background!E27)</f>
        <v>0</v>
      </c>
      <c r="E48" s="107" t="s">
        <v>72</v>
      </c>
      <c r="F48" s="222">
        <f>GWP_CH4</f>
        <v>30</v>
      </c>
      <c r="G48" s="118" t="s">
        <v>213</v>
      </c>
      <c r="H48" s="201">
        <f t="shared" si="0"/>
        <v>0</v>
      </c>
      <c r="I48" s="135"/>
      <c r="J48" s="217">
        <f>IFERROR(H48/G12/J11,)</f>
        <v>0</v>
      </c>
      <c r="K48" s="217">
        <f>IFERROR(H48/G12/J11,)</f>
        <v>0</v>
      </c>
      <c r="M48" s="147"/>
      <c r="N48" s="128"/>
      <c r="O48" s="9"/>
      <c r="P48" s="9"/>
      <c r="Q48" s="9"/>
    </row>
    <row r="49" spans="1:37" s="27" customFormat="1" ht="18" customHeight="1" thickBot="1" x14ac:dyDescent="0.3">
      <c r="B49" s="139" t="s">
        <v>100</v>
      </c>
      <c r="C49" s="140" t="s">
        <v>101</v>
      </c>
      <c r="D49" s="209">
        <f>G12</f>
        <v>0</v>
      </c>
      <c r="E49" s="115" t="s">
        <v>41</v>
      </c>
      <c r="F49" s="223">
        <f>Background!E29</f>
        <v>1.2536115201312725</v>
      </c>
      <c r="G49" s="119" t="s">
        <v>212</v>
      </c>
      <c r="H49" s="209">
        <f t="shared" si="0"/>
        <v>0</v>
      </c>
      <c r="I49" s="224">
        <f>IFERROR(H49/G12/I11,)</f>
        <v>0</v>
      </c>
      <c r="J49" s="224">
        <f>IFERROR(H49/G12/J11,)</f>
        <v>0</v>
      </c>
      <c r="K49" s="224">
        <f>IFERROR(H49/G12/J11,)</f>
        <v>0</v>
      </c>
      <c r="M49" s="147"/>
      <c r="N49" s="128"/>
      <c r="O49" s="9"/>
      <c r="P49" s="9"/>
      <c r="Q49" s="9"/>
    </row>
    <row r="50" spans="1:37" s="27" customFormat="1" ht="15.75" thickTop="1" x14ac:dyDescent="0.25">
      <c r="B50" s="412" t="s">
        <v>295</v>
      </c>
      <c r="C50" s="412"/>
      <c r="D50" s="412"/>
      <c r="E50" s="412"/>
      <c r="F50" s="412"/>
      <c r="G50" s="412"/>
      <c r="H50" s="412"/>
      <c r="I50" s="225">
        <f>SUM(I27:I49)</f>
        <v>0</v>
      </c>
      <c r="J50" s="225">
        <f>SUM(J27:J49)</f>
        <v>0</v>
      </c>
      <c r="K50" s="225">
        <f>SUM(K27:K49)</f>
        <v>0</v>
      </c>
      <c r="N50" s="9"/>
      <c r="O50" s="9"/>
      <c r="P50" s="9"/>
      <c r="Q50" s="9"/>
      <c r="X50" s="77"/>
      <c r="Y50" s="77"/>
      <c r="Z50" s="77"/>
    </row>
    <row r="51" spans="1:37" ht="15.75" thickBot="1" x14ac:dyDescent="0.3">
      <c r="B51" s="413" t="s">
        <v>102</v>
      </c>
      <c r="C51" s="413"/>
      <c r="D51" s="413"/>
      <c r="E51" s="413"/>
      <c r="F51" s="413"/>
      <c r="G51" s="413"/>
      <c r="H51" s="413"/>
      <c r="I51" s="226"/>
      <c r="J51" s="226"/>
      <c r="K51" s="226"/>
      <c r="N51" s="8"/>
      <c r="O51" s="8"/>
      <c r="P51" s="8"/>
      <c r="Q51" s="8"/>
      <c r="X51" s="77"/>
      <c r="Y51" s="77"/>
      <c r="Z51" s="77"/>
    </row>
    <row r="52" spans="1:37" ht="19.5" thickTop="1" x14ac:dyDescent="0.25">
      <c r="B52" s="409" t="s">
        <v>296</v>
      </c>
      <c r="C52" s="410"/>
      <c r="D52" s="410"/>
      <c r="E52" s="410"/>
      <c r="F52" s="410"/>
      <c r="G52" s="410"/>
      <c r="H52" s="411"/>
      <c r="I52" s="227">
        <f>SUM(I50:I51)</f>
        <v>0</v>
      </c>
      <c r="J52" s="227">
        <f>SUM(J50:J51)</f>
        <v>0</v>
      </c>
      <c r="K52" s="227">
        <f>SUM(K50:K51)</f>
        <v>0</v>
      </c>
      <c r="N52" s="8"/>
      <c r="O52" s="8"/>
      <c r="P52" s="8"/>
      <c r="Q52" s="8"/>
      <c r="X52" s="77"/>
      <c r="Y52" s="77"/>
      <c r="Z52" s="77"/>
    </row>
    <row r="53" spans="1:37" x14ac:dyDescent="0.25">
      <c r="B53" s="97"/>
      <c r="C53" s="97"/>
      <c r="D53" s="97"/>
      <c r="E53" s="97"/>
      <c r="F53" s="97"/>
      <c r="G53" s="97"/>
      <c r="H53" s="97"/>
      <c r="I53" s="97"/>
      <c r="J53" s="97"/>
      <c r="K53" s="97"/>
      <c r="N53" s="8"/>
      <c r="O53" s="8"/>
      <c r="P53" s="8"/>
      <c r="Q53" s="8"/>
      <c r="X53" s="77"/>
      <c r="Y53" s="77"/>
      <c r="Z53" s="77"/>
    </row>
    <row r="54" spans="1:37" s="8" customFormat="1" ht="18.75" x14ac:dyDescent="0.25">
      <c r="A54" s="15"/>
      <c r="B54" s="415" t="s">
        <v>103</v>
      </c>
      <c r="C54" s="415"/>
      <c r="D54" s="415"/>
      <c r="E54" s="415"/>
      <c r="F54" s="415"/>
      <c r="G54" s="415"/>
      <c r="H54" s="415"/>
      <c r="I54" s="415"/>
      <c r="J54" s="415"/>
      <c r="K54" s="415"/>
      <c r="L54" s="14"/>
      <c r="AA54" s="7"/>
      <c r="AB54" s="7"/>
    </row>
    <row r="55" spans="1:37" s="8" customFormat="1" ht="409.5" customHeight="1" x14ac:dyDescent="0.25">
      <c r="B55" s="414"/>
      <c r="C55" s="414"/>
      <c r="D55" s="414"/>
      <c r="E55" s="414"/>
      <c r="F55" s="414"/>
      <c r="G55" s="414"/>
      <c r="H55" s="414"/>
      <c r="I55" s="414"/>
      <c r="J55" s="414"/>
      <c r="K55" s="414"/>
      <c r="L55" s="20"/>
      <c r="AA55" s="19"/>
      <c r="AB55" s="19"/>
    </row>
    <row r="56" spans="1:37" s="8" customFormat="1" x14ac:dyDescent="0.25">
      <c r="L56" s="20"/>
      <c r="M56" s="16"/>
      <c r="N56" s="19"/>
      <c r="O56" s="19"/>
      <c r="P56" s="19"/>
      <c r="Q56" s="16"/>
      <c r="R56" s="95"/>
      <c r="S56" s="20"/>
      <c r="T56" s="20"/>
      <c r="U56" s="20"/>
      <c r="V56" s="20"/>
      <c r="W56" s="22"/>
      <c r="AA56" s="24"/>
      <c r="AB56" s="24"/>
    </row>
    <row r="57" spans="1:37" s="8" customFormat="1" x14ac:dyDescent="0.25">
      <c r="A57" s="84"/>
      <c r="B57" s="84"/>
      <c r="C57" s="84"/>
      <c r="D57" s="84"/>
      <c r="E57" s="84"/>
      <c r="F57" s="84"/>
      <c r="G57" s="84"/>
      <c r="H57" s="84"/>
      <c r="I57" s="84"/>
      <c r="J57" s="84"/>
      <c r="K57" s="84"/>
      <c r="M57" s="16"/>
      <c r="N57" s="19"/>
      <c r="O57" s="19"/>
      <c r="P57" s="19"/>
      <c r="Q57" s="16"/>
      <c r="R57" s="25"/>
      <c r="S57" s="20"/>
      <c r="T57" s="20"/>
      <c r="U57" s="20"/>
      <c r="V57" s="20"/>
      <c r="W57" s="22"/>
      <c r="AA57" s="24"/>
      <c r="AB57" s="24"/>
    </row>
    <row r="58" spans="1:37" s="8" customFormat="1" x14ac:dyDescent="0.25">
      <c r="A58" s="77"/>
      <c r="L58" s="27"/>
      <c r="M58" s="21"/>
      <c r="N58" s="26"/>
      <c r="O58" s="26"/>
      <c r="P58" s="26"/>
      <c r="Q58" s="18"/>
      <c r="R58" s="25"/>
      <c r="S58" s="20"/>
      <c r="T58" s="20"/>
      <c r="U58" s="20"/>
      <c r="V58" s="20"/>
      <c r="W58" s="22"/>
      <c r="AA58" s="24"/>
      <c r="AB58" s="24"/>
    </row>
    <row r="59" spans="1:37" s="8" customFormat="1" x14ac:dyDescent="0.25">
      <c r="L59" s="27"/>
      <c r="M59" s="408"/>
      <c r="N59" s="408"/>
      <c r="O59" s="408"/>
      <c r="P59" s="408"/>
      <c r="Q59" s="408"/>
      <c r="R59" s="11"/>
      <c r="S59" s="10"/>
      <c r="T59" s="10"/>
      <c r="U59" s="10"/>
      <c r="V59" s="10"/>
      <c r="W59" s="10"/>
      <c r="X59" s="10"/>
      <c r="Y59" s="10"/>
      <c r="Z59" s="10"/>
    </row>
    <row r="60" spans="1:37" x14ac:dyDescent="0.25">
      <c r="D60" s="1"/>
      <c r="L60" s="27"/>
      <c r="M60" s="28"/>
      <c r="N60" s="29"/>
      <c r="O60" s="29"/>
      <c r="P60" s="29"/>
      <c r="Q60" s="28"/>
      <c r="AK60" s="27"/>
    </row>
    <row r="61" spans="1:37" x14ac:dyDescent="0.25">
      <c r="D61" s="1"/>
      <c r="L61" s="27"/>
      <c r="M61" s="28"/>
      <c r="N61" s="29"/>
      <c r="O61" s="29"/>
      <c r="P61" s="29"/>
      <c r="Q61" s="28"/>
    </row>
    <row r="62" spans="1:37" s="32" customFormat="1" x14ac:dyDescent="0.25">
      <c r="A62" s="77"/>
      <c r="L62" s="27"/>
      <c r="M62" s="31"/>
      <c r="N62" s="29"/>
      <c r="O62" s="29"/>
      <c r="P62" s="29"/>
      <c r="Q62" s="16"/>
      <c r="W62" s="1"/>
    </row>
    <row r="63" spans="1:37" s="32" customFormat="1" x14ac:dyDescent="0.25">
      <c r="L63" s="27"/>
      <c r="M63" s="30"/>
      <c r="N63" s="30"/>
      <c r="O63" s="30"/>
      <c r="P63" s="30"/>
      <c r="Q63" s="16"/>
      <c r="W63" s="1"/>
    </row>
    <row r="64" spans="1:37" ht="15.75" x14ac:dyDescent="0.25">
      <c r="B64" s="77"/>
      <c r="C64" s="77"/>
      <c r="D64" s="1"/>
      <c r="L64" s="16"/>
      <c r="M64" s="126"/>
      <c r="N64" s="16"/>
      <c r="O64" s="16"/>
      <c r="P64" s="16"/>
      <c r="Q64" s="16"/>
    </row>
    <row r="65" spans="1:23" ht="15.75" x14ac:dyDescent="0.25">
      <c r="B65" s="77"/>
      <c r="C65" s="1" t="s">
        <v>7</v>
      </c>
      <c r="L65" s="16"/>
      <c r="M65" s="37"/>
      <c r="N65" s="16"/>
      <c r="O65" s="16"/>
      <c r="P65" s="16"/>
      <c r="Q65" s="16"/>
    </row>
    <row r="66" spans="1:23" ht="15.75" x14ac:dyDescent="0.25">
      <c r="B66" s="77"/>
      <c r="C66" s="77"/>
      <c r="D66" s="1"/>
      <c r="L66" s="16"/>
      <c r="M66" s="37"/>
      <c r="N66" s="16"/>
      <c r="O66" s="16"/>
      <c r="P66" s="16"/>
      <c r="Q66" s="16"/>
    </row>
    <row r="67" spans="1:23" ht="15.75" x14ac:dyDescent="0.25">
      <c r="B67" s="77"/>
      <c r="C67" s="77"/>
      <c r="D67" s="1"/>
      <c r="L67" s="16"/>
      <c r="M67" s="37"/>
      <c r="N67" s="16"/>
      <c r="O67" s="16"/>
      <c r="P67" s="16"/>
      <c r="Q67" s="16"/>
      <c r="W67" s="27"/>
    </row>
    <row r="68" spans="1:23" s="27" customFormat="1" ht="15.75" x14ac:dyDescent="0.25">
      <c r="B68" s="77"/>
      <c r="C68" s="77"/>
      <c r="L68" s="45"/>
      <c r="M68" s="37"/>
      <c r="N68" s="45"/>
      <c r="O68" s="45"/>
      <c r="P68" s="45"/>
      <c r="Q68" s="16"/>
      <c r="W68" s="1"/>
    </row>
    <row r="69" spans="1:23" ht="15.75" x14ac:dyDescent="0.25">
      <c r="B69" s="77"/>
      <c r="C69" s="77"/>
      <c r="D69" s="1"/>
      <c r="L69" s="16"/>
      <c r="M69" s="37"/>
      <c r="N69" s="16"/>
      <c r="O69" s="16"/>
      <c r="P69" s="16"/>
      <c r="Q69" s="16"/>
    </row>
    <row r="70" spans="1:23" x14ac:dyDescent="0.25">
      <c r="B70" s="77"/>
      <c r="C70" s="77"/>
      <c r="D70" s="1"/>
      <c r="L70" s="16"/>
      <c r="M70" s="127"/>
      <c r="N70" s="16"/>
      <c r="O70" s="16"/>
      <c r="P70" s="16"/>
      <c r="Q70" s="16"/>
    </row>
    <row r="71" spans="1:23" x14ac:dyDescent="0.25">
      <c r="A71" s="16"/>
      <c r="B71" s="33"/>
      <c r="C71" s="33"/>
      <c r="D71" s="16"/>
      <c r="E71" s="16"/>
      <c r="F71" s="16"/>
      <c r="G71" s="16"/>
      <c r="H71" s="48"/>
      <c r="I71" s="48"/>
      <c r="J71" s="48"/>
      <c r="K71" s="48"/>
      <c r="L71" s="16"/>
      <c r="M71" s="16"/>
      <c r="N71" s="16"/>
      <c r="O71" s="16"/>
      <c r="P71" s="16"/>
      <c r="Q71" s="16"/>
    </row>
    <row r="72" spans="1:23" x14ac:dyDescent="0.25">
      <c r="A72" s="16"/>
      <c r="B72" s="34"/>
      <c r="C72" s="34"/>
      <c r="D72" s="34"/>
      <c r="E72" s="16"/>
      <c r="F72" s="16"/>
      <c r="G72" s="16"/>
      <c r="H72" s="50"/>
      <c r="I72" s="50"/>
      <c r="J72" s="50"/>
      <c r="K72" s="50"/>
      <c r="L72" s="16"/>
      <c r="M72" s="16"/>
      <c r="N72" s="16"/>
      <c r="O72" s="16"/>
      <c r="P72" s="16"/>
      <c r="Q72" s="16"/>
    </row>
    <row r="73" spans="1:23" x14ac:dyDescent="0.25">
      <c r="A73" s="51"/>
      <c r="B73" s="52"/>
      <c r="C73" s="52"/>
      <c r="D73" s="16"/>
      <c r="E73" s="16"/>
      <c r="F73" s="16"/>
      <c r="G73" s="16"/>
      <c r="H73" s="8"/>
      <c r="I73" s="8"/>
      <c r="J73" s="8"/>
      <c r="K73" s="8"/>
      <c r="L73" s="16"/>
      <c r="M73" s="16"/>
      <c r="N73" s="16"/>
      <c r="O73" s="16"/>
      <c r="P73" s="16"/>
      <c r="Q73" s="16"/>
    </row>
    <row r="74" spans="1:23" x14ac:dyDescent="0.25">
      <c r="A74" s="51"/>
      <c r="B74" s="52"/>
      <c r="C74" s="52"/>
      <c r="D74" s="16"/>
      <c r="E74" s="16"/>
      <c r="F74" s="16"/>
      <c r="G74" s="16"/>
      <c r="H74" s="53"/>
      <c r="I74" s="53"/>
      <c r="J74" s="53"/>
      <c r="K74" s="53"/>
      <c r="L74" s="16"/>
      <c r="M74" s="16"/>
      <c r="N74" s="16"/>
      <c r="O74" s="16"/>
      <c r="P74" s="16"/>
      <c r="Q74" s="16"/>
    </row>
    <row r="75" spans="1:23" x14ac:dyDescent="0.25">
      <c r="A75" s="51"/>
      <c r="B75" s="54"/>
      <c r="C75" s="54"/>
      <c r="D75" s="16"/>
      <c r="E75" s="55"/>
      <c r="F75" s="55"/>
      <c r="G75" s="55"/>
      <c r="H75" s="49"/>
      <c r="I75" s="49"/>
      <c r="J75" s="49"/>
      <c r="K75" s="49"/>
      <c r="L75" s="16"/>
      <c r="M75" s="16"/>
      <c r="N75" s="16"/>
      <c r="O75" s="16"/>
      <c r="P75" s="16"/>
      <c r="Q75" s="16"/>
    </row>
    <row r="76" spans="1:23" x14ac:dyDescent="0.25">
      <c r="A76" s="56"/>
      <c r="B76" s="57"/>
      <c r="C76" s="57"/>
      <c r="D76" s="34"/>
      <c r="E76" s="17"/>
      <c r="F76" s="17"/>
      <c r="G76" s="17"/>
      <c r="H76" s="59"/>
      <c r="I76" s="59"/>
      <c r="J76" s="59"/>
      <c r="K76" s="59"/>
      <c r="L76" s="16"/>
      <c r="M76" s="16"/>
      <c r="N76" s="16"/>
      <c r="O76" s="16"/>
      <c r="P76" s="16"/>
      <c r="Q76" s="16"/>
    </row>
    <row r="77" spans="1:23" x14ac:dyDescent="0.25">
      <c r="A77" s="60"/>
      <c r="B77" s="47"/>
      <c r="C77" s="47"/>
      <c r="D77" s="39"/>
      <c r="E77" s="61"/>
      <c r="F77" s="61"/>
      <c r="G77" s="61"/>
      <c r="H77" s="62"/>
      <c r="I77" s="62"/>
      <c r="J77" s="62"/>
      <c r="K77" s="62"/>
      <c r="L77" s="16"/>
      <c r="M77" s="16"/>
      <c r="N77" s="16"/>
      <c r="O77" s="16"/>
      <c r="P77" s="16"/>
      <c r="Q77" s="16"/>
    </row>
    <row r="78" spans="1:23" x14ac:dyDescent="0.25">
      <c r="A78" s="56"/>
      <c r="B78" s="57"/>
      <c r="C78" s="57"/>
      <c r="D78" s="34"/>
      <c r="E78" s="16"/>
      <c r="F78" s="16"/>
      <c r="G78" s="16"/>
      <c r="H78" s="46"/>
      <c r="I78" s="46"/>
      <c r="J78" s="46"/>
      <c r="K78" s="46"/>
      <c r="L78" s="16"/>
      <c r="M78" s="16"/>
      <c r="N78" s="16"/>
      <c r="O78" s="16"/>
      <c r="P78" s="16"/>
      <c r="Q78" s="16"/>
    </row>
    <row r="79" spans="1:23" x14ac:dyDescent="0.25">
      <c r="A79" s="60"/>
      <c r="B79" s="47"/>
      <c r="C79" s="47"/>
      <c r="D79" s="47"/>
      <c r="E79" s="16"/>
      <c r="F79" s="16"/>
      <c r="G79" s="16"/>
      <c r="H79" s="62"/>
      <c r="I79" s="62"/>
      <c r="J79" s="62"/>
      <c r="K79" s="62"/>
      <c r="L79" s="16"/>
      <c r="M79" s="16"/>
      <c r="N79" s="16"/>
      <c r="O79" s="16"/>
      <c r="P79" s="16"/>
      <c r="Q79" s="16"/>
    </row>
    <row r="80" spans="1:23" x14ac:dyDescent="0.25">
      <c r="A80" s="35"/>
      <c r="B80" s="57"/>
      <c r="C80" s="57"/>
      <c r="D80" s="34"/>
      <c r="E80" s="16"/>
      <c r="F80" s="16"/>
      <c r="G80" s="16"/>
      <c r="H80" s="46"/>
      <c r="I80" s="46"/>
      <c r="J80" s="46"/>
      <c r="K80" s="46"/>
      <c r="L80" s="16"/>
      <c r="M80" s="16"/>
      <c r="N80" s="16"/>
      <c r="O80" s="16"/>
      <c r="P80" s="16"/>
      <c r="Q80" s="16"/>
    </row>
    <row r="81" spans="1:17" x14ac:dyDescent="0.25">
      <c r="A81" s="60"/>
      <c r="B81" s="47"/>
      <c r="C81" s="47"/>
      <c r="D81" s="47"/>
      <c r="E81" s="64"/>
      <c r="F81" s="64"/>
      <c r="G81" s="64"/>
      <c r="H81" s="49"/>
      <c r="I81" s="49"/>
      <c r="J81" s="49"/>
      <c r="K81" s="49"/>
      <c r="L81" s="16"/>
      <c r="M81" s="16"/>
      <c r="N81" s="16"/>
      <c r="O81" s="16"/>
      <c r="P81" s="16"/>
      <c r="Q81" s="16"/>
    </row>
    <row r="82" spans="1:17" x14ac:dyDescent="0.25">
      <c r="A82" s="56"/>
      <c r="B82" s="57"/>
      <c r="C82" s="57"/>
      <c r="D82" s="57"/>
      <c r="E82" s="64"/>
      <c r="F82" s="64"/>
      <c r="G82" s="64"/>
      <c r="H82" s="49"/>
      <c r="I82" s="49"/>
      <c r="J82" s="49"/>
      <c r="K82" s="49"/>
      <c r="L82" s="16"/>
      <c r="M82" s="16"/>
      <c r="N82" s="16"/>
      <c r="O82" s="16"/>
      <c r="P82" s="16"/>
      <c r="Q82" s="16"/>
    </row>
    <row r="83" spans="1:17" x14ac:dyDescent="0.25">
      <c r="A83" s="60"/>
      <c r="B83" s="47"/>
      <c r="C83" s="47"/>
      <c r="D83" s="47"/>
      <c r="E83" s="64"/>
      <c r="F83" s="64"/>
      <c r="G83" s="64"/>
      <c r="H83" s="49"/>
      <c r="I83" s="49"/>
      <c r="J83" s="49"/>
      <c r="K83" s="49"/>
      <c r="L83" s="16"/>
      <c r="M83" s="16"/>
      <c r="N83" s="16"/>
      <c r="O83" s="16"/>
      <c r="P83" s="16"/>
      <c r="Q83" s="16"/>
    </row>
    <row r="84" spans="1:17" x14ac:dyDescent="0.25">
      <c r="A84" s="56"/>
      <c r="B84" s="57"/>
      <c r="C84" s="57"/>
      <c r="D84" s="57"/>
      <c r="E84" s="64"/>
      <c r="F84" s="64"/>
      <c r="G84" s="64"/>
      <c r="H84" s="49"/>
      <c r="I84" s="49"/>
      <c r="J84" s="49"/>
      <c r="K84" s="49"/>
      <c r="L84" s="16"/>
      <c r="M84" s="16"/>
      <c r="N84" s="16"/>
      <c r="O84" s="16"/>
      <c r="P84" s="16"/>
      <c r="Q84" s="16"/>
    </row>
    <row r="85" spans="1:17" x14ac:dyDescent="0.25">
      <c r="A85" s="60"/>
      <c r="B85" s="47"/>
      <c r="C85" s="47"/>
      <c r="D85" s="47"/>
      <c r="E85" s="64"/>
      <c r="F85" s="64"/>
      <c r="G85" s="64"/>
      <c r="H85" s="49"/>
      <c r="I85" s="49"/>
      <c r="J85" s="49"/>
      <c r="K85" s="49"/>
      <c r="L85" s="16"/>
      <c r="M85" s="16"/>
      <c r="N85" s="16"/>
      <c r="O85" s="16"/>
      <c r="P85" s="16"/>
      <c r="Q85" s="16"/>
    </row>
    <row r="86" spans="1:17" x14ac:dyDescent="0.25">
      <c r="A86" s="65"/>
      <c r="B86" s="57"/>
      <c r="C86" s="57"/>
      <c r="D86" s="34"/>
      <c r="E86" s="16"/>
      <c r="F86" s="16"/>
      <c r="G86" s="16"/>
      <c r="H86" s="49"/>
      <c r="I86" s="49"/>
      <c r="J86" s="49"/>
      <c r="K86" s="49"/>
      <c r="L86" s="16"/>
      <c r="M86" s="16"/>
      <c r="N86" s="16"/>
      <c r="O86" s="16"/>
      <c r="P86" s="16"/>
      <c r="Q86" s="16"/>
    </row>
    <row r="87" spans="1:17" x14ac:dyDescent="0.25">
      <c r="A87" s="60"/>
      <c r="B87" s="47"/>
      <c r="C87" s="47"/>
      <c r="D87" s="39"/>
      <c r="E87" s="16"/>
      <c r="F87" s="16"/>
      <c r="G87" s="16"/>
      <c r="H87" s="49"/>
      <c r="I87" s="49"/>
      <c r="J87" s="49"/>
      <c r="K87" s="49"/>
      <c r="L87" s="16"/>
      <c r="M87" s="16"/>
      <c r="N87" s="16"/>
      <c r="O87" s="16"/>
      <c r="P87" s="16"/>
      <c r="Q87" s="16"/>
    </row>
    <row r="88" spans="1:17" x14ac:dyDescent="0.25">
      <c r="A88" s="56"/>
      <c r="B88" s="34"/>
      <c r="C88" s="34"/>
      <c r="D88" s="34"/>
      <c r="E88" s="66"/>
      <c r="F88" s="66"/>
      <c r="G88" s="66"/>
      <c r="H88" s="49"/>
      <c r="I88" s="49"/>
      <c r="J88" s="49"/>
      <c r="K88" s="49"/>
      <c r="L88" s="16"/>
      <c r="M88" s="16"/>
      <c r="N88" s="16"/>
      <c r="O88" s="16"/>
      <c r="P88" s="16"/>
      <c r="Q88" s="16"/>
    </row>
    <row r="89" spans="1:17" x14ac:dyDescent="0.25">
      <c r="A89" s="60"/>
      <c r="B89" s="40"/>
      <c r="C89" s="40"/>
      <c r="D89" s="41"/>
      <c r="E89" s="67"/>
      <c r="F89" s="67"/>
      <c r="G89" s="67"/>
      <c r="H89" s="49"/>
      <c r="I89" s="49"/>
      <c r="J89" s="49"/>
      <c r="K89" s="49"/>
      <c r="L89" s="16"/>
      <c r="M89" s="16"/>
      <c r="N89" s="16"/>
      <c r="O89" s="16"/>
      <c r="P89" s="16"/>
      <c r="Q89" s="16"/>
    </row>
    <row r="90" spans="1:17" x14ac:dyDescent="0.25">
      <c r="A90" s="56"/>
      <c r="B90" s="43"/>
      <c r="C90" s="43"/>
      <c r="D90" s="58"/>
      <c r="E90" s="16"/>
      <c r="F90" s="16"/>
      <c r="G90" s="16"/>
      <c r="H90" s="68"/>
      <c r="I90" s="68"/>
      <c r="J90" s="68"/>
      <c r="K90" s="68"/>
      <c r="L90" s="16"/>
      <c r="M90" s="16"/>
      <c r="N90" s="16"/>
      <c r="O90" s="16"/>
      <c r="P90" s="16"/>
      <c r="Q90" s="16"/>
    </row>
    <row r="91" spans="1:17" x14ac:dyDescent="0.25">
      <c r="A91" s="60"/>
      <c r="B91" s="41"/>
      <c r="C91" s="41"/>
      <c r="D91" s="41"/>
      <c r="E91" s="67"/>
      <c r="F91" s="67"/>
      <c r="G91" s="67"/>
      <c r="H91" s="49"/>
      <c r="I91" s="49"/>
      <c r="J91" s="49"/>
      <c r="K91" s="49"/>
      <c r="L91" s="16"/>
      <c r="M91" s="16"/>
      <c r="N91" s="16"/>
      <c r="O91" s="16"/>
      <c r="P91" s="16"/>
      <c r="Q91" s="16"/>
    </row>
    <row r="92" spans="1:17" x14ac:dyDescent="0.25">
      <c r="A92" s="60"/>
      <c r="B92" s="34"/>
      <c r="C92" s="34"/>
      <c r="D92" s="34"/>
      <c r="E92" s="69"/>
      <c r="F92" s="69"/>
      <c r="G92" s="69"/>
      <c r="H92" s="49"/>
      <c r="I92" s="49"/>
      <c r="J92" s="49"/>
      <c r="K92" s="49"/>
      <c r="L92" s="16"/>
      <c r="M92" s="16"/>
      <c r="N92" s="16"/>
      <c r="O92" s="16"/>
      <c r="P92" s="16"/>
      <c r="Q92" s="16"/>
    </row>
    <row r="93" spans="1:17" x14ac:dyDescent="0.25">
      <c r="A93" s="70"/>
      <c r="B93" s="40"/>
      <c r="C93" s="40"/>
      <c r="D93" s="40"/>
      <c r="E93" s="69"/>
      <c r="F93" s="69"/>
      <c r="G93" s="69"/>
      <c r="H93" s="49"/>
      <c r="I93" s="49"/>
      <c r="J93" s="49"/>
      <c r="K93" s="49"/>
      <c r="L93" s="16"/>
      <c r="M93" s="16"/>
      <c r="N93" s="16"/>
      <c r="O93" s="16"/>
      <c r="P93" s="16"/>
      <c r="Q93" s="16"/>
    </row>
    <row r="94" spans="1:17" x14ac:dyDescent="0.25">
      <c r="A94" s="56"/>
      <c r="B94" s="34"/>
      <c r="C94" s="34"/>
      <c r="D94" s="34"/>
      <c r="E94" s="16"/>
      <c r="F94" s="16"/>
      <c r="G94" s="16"/>
      <c r="H94" s="16"/>
      <c r="I94" s="16"/>
      <c r="J94" s="16"/>
      <c r="K94" s="16"/>
      <c r="L94" s="16"/>
      <c r="M94" s="16"/>
      <c r="N94" s="16"/>
      <c r="O94" s="16"/>
      <c r="P94" s="16"/>
      <c r="Q94" s="16"/>
    </row>
    <row r="95" spans="1:17" x14ac:dyDescent="0.25">
      <c r="A95" s="56"/>
      <c r="B95" s="71"/>
      <c r="C95" s="71"/>
      <c r="D95" s="71"/>
      <c r="E95" s="72"/>
      <c r="F95" s="72"/>
      <c r="G95" s="72"/>
      <c r="H95" s="73"/>
      <c r="I95" s="73"/>
      <c r="J95" s="73"/>
      <c r="K95" s="73"/>
      <c r="L95" s="16"/>
      <c r="M95" s="16"/>
      <c r="N95" s="16"/>
      <c r="O95" s="16"/>
      <c r="P95" s="16"/>
      <c r="Q95" s="16"/>
    </row>
    <row r="96" spans="1:17" x14ac:dyDescent="0.25">
      <c r="A96" s="56"/>
      <c r="B96" s="34"/>
      <c r="C96" s="34"/>
      <c r="D96" s="34"/>
      <c r="E96" s="16"/>
      <c r="F96" s="16"/>
      <c r="G96" s="16"/>
      <c r="H96" s="16"/>
      <c r="I96" s="16"/>
      <c r="J96" s="16"/>
      <c r="K96" s="16"/>
      <c r="L96" s="16"/>
      <c r="M96" s="16"/>
      <c r="N96" s="16"/>
      <c r="O96" s="16"/>
      <c r="P96" s="16"/>
      <c r="Q96" s="16"/>
    </row>
    <row r="97" spans="1:23" x14ac:dyDescent="0.25">
      <c r="A97" s="30"/>
      <c r="B97" s="74"/>
      <c r="C97" s="74"/>
      <c r="D97" s="30"/>
      <c r="E97" s="16"/>
      <c r="F97" s="16"/>
      <c r="G97" s="16"/>
      <c r="H97" s="16"/>
      <c r="I97" s="16"/>
      <c r="J97" s="16"/>
      <c r="K97" s="16"/>
      <c r="L97" s="16"/>
      <c r="M97" s="16"/>
      <c r="N97" s="16"/>
      <c r="O97" s="16"/>
      <c r="P97" s="16"/>
      <c r="Q97" s="16"/>
    </row>
    <row r="98" spans="1:23" x14ac:dyDescent="0.25">
      <c r="D98" s="1"/>
      <c r="E98" s="16"/>
      <c r="F98" s="16"/>
      <c r="G98" s="16"/>
      <c r="H98" s="16"/>
      <c r="I98" s="16"/>
      <c r="J98" s="16"/>
      <c r="K98" s="16"/>
      <c r="L98" s="16"/>
      <c r="M98" s="16"/>
      <c r="N98" s="16"/>
      <c r="O98" s="16"/>
      <c r="P98" s="16"/>
      <c r="Q98" s="16"/>
    </row>
    <row r="99" spans="1:23" x14ac:dyDescent="0.25">
      <c r="D99" s="1"/>
      <c r="E99" s="16"/>
      <c r="F99" s="16"/>
      <c r="G99" s="16"/>
      <c r="H99" s="16"/>
      <c r="I99" s="16"/>
      <c r="J99" s="16"/>
      <c r="K99" s="16"/>
      <c r="L99" s="16"/>
      <c r="M99" s="16"/>
      <c r="N99" s="16"/>
      <c r="O99" s="16"/>
      <c r="P99" s="16"/>
      <c r="Q99" s="16"/>
      <c r="R99" s="16"/>
      <c r="S99" s="16"/>
      <c r="T99" s="16"/>
      <c r="U99" s="16"/>
      <c r="V99" s="16"/>
      <c r="W99" s="16"/>
    </row>
    <row r="100" spans="1:23" x14ac:dyDescent="0.25">
      <c r="D100" s="1"/>
      <c r="E100" s="16"/>
      <c r="F100" s="16"/>
      <c r="G100" s="16"/>
      <c r="H100" s="16"/>
      <c r="I100" s="16"/>
      <c r="J100" s="16"/>
      <c r="K100" s="16"/>
      <c r="L100" s="16"/>
      <c r="M100" s="16"/>
      <c r="N100" s="16"/>
      <c r="O100" s="16"/>
      <c r="P100" s="16"/>
      <c r="Q100" s="16"/>
      <c r="R100" s="16"/>
      <c r="S100" s="16"/>
      <c r="T100" s="16"/>
      <c r="U100" s="16"/>
      <c r="V100" s="16"/>
      <c r="W100" s="16"/>
    </row>
    <row r="101" spans="1:23" x14ac:dyDescent="0.25">
      <c r="D101" s="1"/>
      <c r="E101" s="30"/>
      <c r="F101" s="30"/>
      <c r="G101" s="30"/>
      <c r="H101" s="30"/>
      <c r="I101" s="30"/>
      <c r="J101" s="30"/>
      <c r="K101" s="30"/>
      <c r="L101" s="16"/>
      <c r="M101" s="16"/>
      <c r="N101" s="16"/>
      <c r="O101" s="16"/>
      <c r="P101" s="16"/>
      <c r="Q101" s="16"/>
      <c r="R101" s="16"/>
      <c r="S101" s="16"/>
      <c r="T101" s="16"/>
      <c r="U101" s="16"/>
      <c r="V101" s="16"/>
      <c r="W101" s="16"/>
    </row>
    <row r="102" spans="1:23" x14ac:dyDescent="0.25">
      <c r="D102" s="1"/>
      <c r="E102" s="30"/>
      <c r="F102" s="30"/>
      <c r="G102" s="30"/>
      <c r="H102" s="30"/>
      <c r="I102" s="30"/>
      <c r="J102" s="30"/>
      <c r="K102" s="30"/>
      <c r="L102" s="16"/>
      <c r="M102" s="16"/>
      <c r="N102" s="16"/>
      <c r="O102" s="16"/>
      <c r="P102" s="16"/>
      <c r="Q102" s="16"/>
      <c r="R102" s="16"/>
      <c r="S102" s="16"/>
      <c r="T102" s="16"/>
      <c r="U102" s="16"/>
      <c r="V102" s="16"/>
      <c r="W102" s="16"/>
    </row>
    <row r="103" spans="1:23" x14ac:dyDescent="0.25">
      <c r="D103" s="1"/>
      <c r="E103" s="30"/>
      <c r="F103" s="30"/>
      <c r="G103" s="30"/>
      <c r="H103" s="30"/>
      <c r="I103" s="30"/>
      <c r="J103" s="30"/>
      <c r="K103" s="30"/>
      <c r="L103" s="16"/>
      <c r="M103" s="16"/>
      <c r="N103" s="16"/>
      <c r="O103" s="16"/>
      <c r="P103" s="16"/>
      <c r="Q103" s="16"/>
      <c r="R103" s="16"/>
      <c r="S103" s="16"/>
      <c r="T103" s="16"/>
      <c r="U103" s="16"/>
      <c r="V103" s="16"/>
      <c r="W103" s="16"/>
    </row>
    <row r="104" spans="1:23" x14ac:dyDescent="0.25">
      <c r="D104" s="1"/>
      <c r="E104" s="30"/>
      <c r="F104" s="30"/>
      <c r="G104" s="30"/>
      <c r="H104" s="30"/>
      <c r="I104" s="30"/>
      <c r="J104" s="30"/>
      <c r="K104" s="30"/>
      <c r="L104" s="16"/>
      <c r="M104" s="16"/>
      <c r="N104" s="16"/>
      <c r="O104" s="16"/>
      <c r="P104" s="16"/>
      <c r="Q104" s="16"/>
      <c r="R104" s="16"/>
      <c r="S104" s="16"/>
      <c r="T104" s="16"/>
      <c r="U104" s="16"/>
      <c r="V104" s="16"/>
      <c r="W104" s="16"/>
    </row>
    <row r="105" spans="1:23" x14ac:dyDescent="0.25">
      <c r="D105" s="82"/>
      <c r="E105" s="30"/>
      <c r="F105" s="30"/>
      <c r="G105" s="30"/>
      <c r="H105" s="30"/>
      <c r="I105" s="30"/>
      <c r="J105" s="30"/>
      <c r="K105" s="30"/>
      <c r="L105" s="16"/>
      <c r="M105" s="16"/>
      <c r="N105" s="16"/>
      <c r="O105" s="16"/>
      <c r="P105" s="16"/>
      <c r="Q105" s="16"/>
      <c r="R105" s="16"/>
      <c r="S105" s="16"/>
      <c r="T105" s="16"/>
      <c r="U105" s="16"/>
      <c r="V105" s="16"/>
      <c r="W105" s="16"/>
    </row>
    <row r="106" spans="1:23" x14ac:dyDescent="0.25">
      <c r="D106" s="82"/>
      <c r="E106" s="30"/>
      <c r="F106" s="30"/>
      <c r="G106" s="30"/>
      <c r="H106" s="30"/>
      <c r="I106" s="30"/>
      <c r="J106" s="30"/>
      <c r="K106" s="30"/>
      <c r="L106" s="16"/>
      <c r="M106" s="16"/>
      <c r="N106" s="16"/>
      <c r="O106" s="16"/>
      <c r="P106" s="16"/>
      <c r="Q106" s="16"/>
      <c r="R106" s="16"/>
      <c r="S106" s="16"/>
      <c r="T106" s="16"/>
      <c r="U106" s="16"/>
      <c r="V106" s="16"/>
      <c r="W106" s="16"/>
    </row>
    <row r="107" spans="1:23" x14ac:dyDescent="0.25">
      <c r="D107" s="1"/>
      <c r="E107" s="76"/>
      <c r="F107" s="76"/>
      <c r="G107" s="76"/>
      <c r="H107" s="76"/>
      <c r="I107" s="76"/>
      <c r="J107" s="76"/>
      <c r="K107" s="76"/>
      <c r="S107" s="28"/>
      <c r="T107" s="28"/>
      <c r="U107" s="28"/>
      <c r="V107" s="28"/>
    </row>
    <row r="108" spans="1:23" x14ac:dyDescent="0.25">
      <c r="D108" s="1"/>
      <c r="E108" s="76"/>
      <c r="F108" s="76"/>
      <c r="G108" s="76"/>
      <c r="H108" s="76"/>
      <c r="I108" s="76"/>
      <c r="J108" s="76"/>
      <c r="K108" s="76"/>
      <c r="S108" s="28"/>
      <c r="T108" s="28"/>
      <c r="U108" s="28"/>
      <c r="V108" s="28"/>
    </row>
    <row r="109" spans="1:23" x14ac:dyDescent="0.25">
      <c r="D109" s="1"/>
      <c r="E109" s="76"/>
      <c r="F109" s="76"/>
      <c r="G109" s="76"/>
      <c r="H109" s="76"/>
      <c r="I109" s="76"/>
      <c r="J109" s="76"/>
      <c r="K109" s="76"/>
      <c r="S109" s="28"/>
      <c r="T109" s="28"/>
      <c r="U109" s="28"/>
      <c r="V109" s="28"/>
    </row>
    <row r="110" spans="1:23" x14ac:dyDescent="0.25">
      <c r="D110" s="1"/>
      <c r="E110" s="76"/>
      <c r="F110" s="76"/>
      <c r="G110" s="76"/>
      <c r="H110" s="76"/>
      <c r="I110" s="76"/>
      <c r="J110" s="76"/>
      <c r="K110" s="76"/>
      <c r="S110" s="28"/>
      <c r="T110" s="28"/>
      <c r="U110" s="28"/>
      <c r="V110" s="28"/>
    </row>
    <row r="111" spans="1:23" x14ac:dyDescent="0.25">
      <c r="D111" s="1"/>
      <c r="S111" s="28"/>
      <c r="T111" s="28"/>
      <c r="U111" s="28"/>
      <c r="V111" s="28"/>
    </row>
    <row r="112" spans="1:23" x14ac:dyDescent="0.25">
      <c r="D112" s="1"/>
      <c r="S112" s="28"/>
      <c r="T112" s="28"/>
      <c r="U112" s="28"/>
      <c r="V112" s="28"/>
    </row>
    <row r="115" spans="5:23" x14ac:dyDescent="0.25">
      <c r="L115" s="16"/>
      <c r="M115" s="16"/>
      <c r="N115" s="16"/>
      <c r="O115" s="16"/>
      <c r="P115" s="16"/>
      <c r="Q115" s="16"/>
      <c r="R115" s="16"/>
      <c r="S115" s="16"/>
      <c r="T115" s="16"/>
      <c r="U115" s="16"/>
      <c r="V115" s="16"/>
      <c r="W115" s="16"/>
    </row>
    <row r="119" spans="5:23" x14ac:dyDescent="0.25">
      <c r="E119" s="16"/>
      <c r="F119" s="16"/>
      <c r="G119" s="16"/>
      <c r="H119" s="16"/>
      <c r="I119" s="16"/>
      <c r="J119" s="16"/>
      <c r="K119" s="16"/>
    </row>
    <row r="120" spans="5:23" x14ac:dyDescent="0.25">
      <c r="E120" s="27"/>
      <c r="F120" s="27"/>
      <c r="G120" s="27"/>
      <c r="H120" s="27"/>
      <c r="I120" s="27"/>
      <c r="J120" s="27"/>
      <c r="K120" s="27"/>
    </row>
    <row r="121" spans="5:23" x14ac:dyDescent="0.25">
      <c r="E121" s="27"/>
      <c r="F121" s="27"/>
      <c r="G121" s="27"/>
      <c r="H121" s="27"/>
      <c r="I121" s="27"/>
      <c r="J121" s="27"/>
      <c r="K121" s="27"/>
    </row>
    <row r="122" spans="5:23" x14ac:dyDescent="0.25">
      <c r="E122" s="27"/>
      <c r="F122" s="27"/>
      <c r="G122" s="27"/>
      <c r="H122" s="27"/>
      <c r="I122" s="27"/>
      <c r="J122" s="27"/>
      <c r="K122" s="27"/>
    </row>
    <row r="123" spans="5:23" x14ac:dyDescent="0.25">
      <c r="E123" s="27"/>
      <c r="F123" s="27"/>
      <c r="G123" s="27"/>
      <c r="H123" s="27"/>
      <c r="I123" s="27"/>
      <c r="J123" s="27"/>
      <c r="K123" s="27"/>
    </row>
    <row r="124" spans="5:23" x14ac:dyDescent="0.25">
      <c r="H124" s="27"/>
      <c r="I124" s="27"/>
      <c r="J124" s="27"/>
      <c r="K124" s="27"/>
    </row>
    <row r="125" spans="5:23" x14ac:dyDescent="0.25">
      <c r="H125" s="27"/>
      <c r="I125" s="27"/>
      <c r="J125" s="27"/>
      <c r="K125" s="27"/>
    </row>
    <row r="126" spans="5:23" x14ac:dyDescent="0.25">
      <c r="H126" s="27"/>
      <c r="I126" s="27"/>
      <c r="J126" s="27"/>
      <c r="K126" s="27"/>
    </row>
    <row r="127" spans="5:23" x14ac:dyDescent="0.25">
      <c r="H127" s="27"/>
      <c r="I127" s="27"/>
      <c r="J127" s="27"/>
      <c r="K127" s="27"/>
    </row>
    <row r="128" spans="5:23" x14ac:dyDescent="0.25">
      <c r="H128" s="27"/>
      <c r="I128" s="27"/>
      <c r="J128" s="27"/>
      <c r="K128" s="27"/>
    </row>
    <row r="129" spans="5:11" x14ac:dyDescent="0.25">
      <c r="H129" s="27"/>
      <c r="I129" s="27"/>
      <c r="J129" s="27"/>
      <c r="K129" s="27"/>
    </row>
    <row r="130" spans="5:11" x14ac:dyDescent="0.25">
      <c r="H130" s="75"/>
      <c r="I130" s="75"/>
      <c r="J130" s="75"/>
      <c r="K130" s="75"/>
    </row>
    <row r="131" spans="5:11" x14ac:dyDescent="0.25">
      <c r="H131" s="75"/>
      <c r="I131" s="75"/>
      <c r="J131" s="75"/>
      <c r="K131" s="75"/>
    </row>
    <row r="132" spans="5:11" x14ac:dyDescent="0.25">
      <c r="E132" s="75"/>
      <c r="F132" s="75"/>
      <c r="G132" s="75"/>
    </row>
    <row r="133" spans="5:11" x14ac:dyDescent="0.25">
      <c r="E133" s="75"/>
      <c r="F133" s="75"/>
      <c r="G133" s="75"/>
    </row>
    <row r="134" spans="5:11" x14ac:dyDescent="0.25">
      <c r="E134" s="75"/>
      <c r="F134" s="75"/>
      <c r="G134" s="75"/>
    </row>
    <row r="135" spans="5:11" x14ac:dyDescent="0.25">
      <c r="E135" s="75"/>
      <c r="F135" s="75"/>
      <c r="G135" s="75"/>
    </row>
    <row r="136" spans="5:11" x14ac:dyDescent="0.25">
      <c r="E136" s="75"/>
      <c r="F136" s="75"/>
      <c r="G136" s="75"/>
    </row>
    <row r="137" spans="5:11" x14ac:dyDescent="0.25">
      <c r="E137" s="75"/>
      <c r="F137" s="75"/>
      <c r="G137" s="75"/>
    </row>
  </sheetData>
  <mergeCells count="25">
    <mergeCell ref="B4:K5"/>
    <mergeCell ref="B6:K7"/>
    <mergeCell ref="B41:B42"/>
    <mergeCell ref="B44:B48"/>
    <mergeCell ref="B39:B40"/>
    <mergeCell ref="B8:K8"/>
    <mergeCell ref="B9:C9"/>
    <mergeCell ref="B32:B37"/>
    <mergeCell ref="B15:G15"/>
    <mergeCell ref="I9:K9"/>
    <mergeCell ref="J11:K11"/>
    <mergeCell ref="J10:K10"/>
    <mergeCell ref="B24:K24"/>
    <mergeCell ref="E9:G9"/>
    <mergeCell ref="B16:B17"/>
    <mergeCell ref="B27:B30"/>
    <mergeCell ref="B25:E25"/>
    <mergeCell ref="F25:G25"/>
    <mergeCell ref="I25:K25"/>
    <mergeCell ref="M59:Q59"/>
    <mergeCell ref="B52:H52"/>
    <mergeCell ref="B50:H50"/>
    <mergeCell ref="B51:H51"/>
    <mergeCell ref="B55:K55"/>
    <mergeCell ref="B54:K54"/>
  </mergeCells>
  <phoneticPr fontId="49"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Inputs">
    <tabColor rgb="FF1B8ABF"/>
  </sheetPr>
  <dimension ref="B1:AR139"/>
  <sheetViews>
    <sheetView showGridLines="0" zoomScale="90" zoomScaleNormal="90" workbookViewId="0">
      <pane ySplit="1" topLeftCell="A10" activePane="bottomLeft" state="frozen"/>
      <selection pane="bottomLeft" activeCell="F34" sqref="F34"/>
    </sheetView>
  </sheetViews>
  <sheetFormatPr defaultColWidth="20.7109375" defaultRowHeight="18" customHeight="1" x14ac:dyDescent="0.25"/>
  <cols>
    <col min="1" max="1" width="4.28515625" style="1" customWidth="1"/>
    <col min="2" max="2" width="43.7109375" style="1" customWidth="1"/>
    <col min="3" max="3" width="48.7109375" style="1" customWidth="1"/>
    <col min="4" max="4" width="4.42578125" style="1" customWidth="1"/>
    <col min="5" max="33" width="28.7109375" style="1" customWidth="1"/>
    <col min="34" max="444" width="20.7109375" style="1" customWidth="1"/>
    <col min="445" max="16384" width="20.7109375" style="1"/>
  </cols>
  <sheetData>
    <row r="1" spans="2:44" ht="30" customHeight="1" x14ac:dyDescent="0.25"/>
    <row r="2" spans="2:44" ht="30" customHeight="1" x14ac:dyDescent="0.25">
      <c r="D2" s="27"/>
    </row>
    <row r="3" spans="2:44" ht="10.5" customHeight="1" x14ac:dyDescent="0.25">
      <c r="D3" s="27"/>
    </row>
    <row r="4" spans="2:44" ht="18" customHeight="1" x14ac:dyDescent="0.25">
      <c r="B4" s="415" t="s">
        <v>8</v>
      </c>
      <c r="C4" s="415"/>
      <c r="D4" s="2"/>
      <c r="E4" s="415" t="s">
        <v>9</v>
      </c>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Q4" s="78"/>
      <c r="AR4" s="27"/>
    </row>
    <row r="5" spans="2:44" ht="18" customHeight="1" x14ac:dyDescent="0.25">
      <c r="B5" s="228" t="s">
        <v>302</v>
      </c>
      <c r="C5" s="229"/>
      <c r="D5" s="2"/>
      <c r="E5" s="230"/>
      <c r="F5" s="444" t="s">
        <v>10</v>
      </c>
      <c r="G5" s="445"/>
      <c r="H5" s="445"/>
      <c r="I5" s="445"/>
      <c r="J5" s="443" t="s">
        <v>11</v>
      </c>
      <c r="K5" s="443"/>
      <c r="L5" s="443"/>
      <c r="M5" s="443"/>
      <c r="N5" s="445" t="s">
        <v>12</v>
      </c>
      <c r="O5" s="445"/>
      <c r="P5" s="445"/>
      <c r="Q5" s="446"/>
      <c r="R5" s="444" t="s">
        <v>13</v>
      </c>
      <c r="S5" s="445"/>
      <c r="T5" s="445"/>
      <c r="U5" s="446"/>
      <c r="V5" s="443" t="s">
        <v>14</v>
      </c>
      <c r="W5" s="443"/>
      <c r="X5" s="445" t="s">
        <v>15</v>
      </c>
      <c r="Y5" s="445"/>
      <c r="Z5" s="445"/>
      <c r="AA5" s="445"/>
      <c r="AB5" s="445"/>
      <c r="AC5" s="446"/>
      <c r="AD5" s="231" t="s">
        <v>16</v>
      </c>
      <c r="AE5" s="443" t="s">
        <v>17</v>
      </c>
      <c r="AF5" s="443"/>
      <c r="AG5" s="443"/>
      <c r="AQ5" s="78"/>
      <c r="AR5" s="27"/>
    </row>
    <row r="6" spans="2:44" s="92" customFormat="1" ht="18" customHeight="1" x14ac:dyDescent="0.25">
      <c r="B6" s="228" t="s">
        <v>303</v>
      </c>
      <c r="C6" s="229"/>
      <c r="D6" s="7"/>
      <c r="E6" s="232">
        <v>4.0999999999999996</v>
      </c>
      <c r="F6" s="232">
        <v>4.2</v>
      </c>
      <c r="G6" s="232">
        <v>4.3</v>
      </c>
      <c r="H6" s="232">
        <v>4.4000000000000004</v>
      </c>
      <c r="I6" s="232">
        <v>4.5</v>
      </c>
      <c r="J6" s="232">
        <v>4.5999999999999996</v>
      </c>
      <c r="K6" s="232">
        <v>4.7</v>
      </c>
      <c r="L6" s="232">
        <v>4.8</v>
      </c>
      <c r="M6" s="232">
        <v>4.9000000000000004</v>
      </c>
      <c r="N6" s="232">
        <v>4.0999999999999996</v>
      </c>
      <c r="O6" s="232">
        <v>4.1100000000000003</v>
      </c>
      <c r="P6" s="232">
        <v>4.12</v>
      </c>
      <c r="Q6" s="232">
        <v>4.13</v>
      </c>
      <c r="R6" s="232">
        <v>4.1399999999999997</v>
      </c>
      <c r="S6" s="232">
        <v>4.1500000000000004</v>
      </c>
      <c r="T6" s="232">
        <v>4.16</v>
      </c>
      <c r="U6" s="232">
        <v>4.17</v>
      </c>
      <c r="V6" s="232">
        <v>4.1800000000000104</v>
      </c>
      <c r="W6" s="232">
        <v>4.1900000000000102</v>
      </c>
      <c r="X6" s="232">
        <v>4.2000000000000099</v>
      </c>
      <c r="Y6" s="232">
        <v>4.2100000000000097</v>
      </c>
      <c r="Z6" s="232">
        <v>4.2200000000000104</v>
      </c>
      <c r="AA6" s="232">
        <v>4.2300000000000102</v>
      </c>
      <c r="AB6" s="232">
        <v>4.24000000000001</v>
      </c>
      <c r="AC6" s="232">
        <v>4.2500000000000098</v>
      </c>
      <c r="AD6" s="232">
        <v>4.2600000000000096</v>
      </c>
      <c r="AE6" s="232">
        <v>4.2700000000000102</v>
      </c>
      <c r="AF6" s="232">
        <v>4.28000000000001</v>
      </c>
      <c r="AG6" s="232">
        <v>4.2900000000000098</v>
      </c>
      <c r="AQ6" s="78"/>
      <c r="AR6" s="94"/>
    </row>
    <row r="7" spans="2:44" s="92" customFormat="1" ht="18" customHeight="1" x14ac:dyDescent="0.25">
      <c r="B7" s="228" t="s">
        <v>304</v>
      </c>
      <c r="C7" s="229"/>
      <c r="D7" s="7"/>
      <c r="E7" s="233" t="s">
        <v>18</v>
      </c>
      <c r="F7" s="233"/>
      <c r="G7" s="233"/>
      <c r="H7" s="233"/>
      <c r="I7" s="233"/>
      <c r="J7" s="233"/>
      <c r="K7" s="233"/>
      <c r="L7" s="233"/>
      <c r="M7" s="233"/>
      <c r="N7" s="233"/>
      <c r="O7" s="233"/>
      <c r="P7" s="233"/>
      <c r="Q7" s="233"/>
      <c r="R7" s="233"/>
      <c r="S7" s="233"/>
      <c r="T7" s="233"/>
      <c r="U7" s="233"/>
      <c r="V7" s="233" t="s">
        <v>19</v>
      </c>
      <c r="W7" s="233" t="s">
        <v>20</v>
      </c>
      <c r="X7" s="233" t="s">
        <v>21</v>
      </c>
      <c r="Y7" s="233"/>
      <c r="Z7" s="233"/>
      <c r="AA7" s="233" t="s">
        <v>23</v>
      </c>
      <c r="AB7" s="233" t="s">
        <v>24</v>
      </c>
      <c r="AC7" s="233" t="s">
        <v>25</v>
      </c>
      <c r="AD7" s="233" t="s">
        <v>26</v>
      </c>
      <c r="AE7" s="233" t="s">
        <v>27</v>
      </c>
      <c r="AF7" s="233" t="s">
        <v>28</v>
      </c>
      <c r="AG7" s="233" t="s">
        <v>29</v>
      </c>
      <c r="AQ7" s="93"/>
      <c r="AR7" s="94"/>
    </row>
    <row r="8" spans="2:44" ht="18" customHeight="1" x14ac:dyDescent="0.25">
      <c r="B8" s="234" t="s">
        <v>305</v>
      </c>
      <c r="C8" s="229"/>
      <c r="D8" s="7"/>
      <c r="E8" s="233" t="s">
        <v>30</v>
      </c>
      <c r="F8" s="235"/>
      <c r="G8" s="235"/>
      <c r="H8" s="235"/>
      <c r="I8" s="235"/>
      <c r="J8" s="235"/>
      <c r="K8" s="235"/>
      <c r="L8" s="235"/>
      <c r="M8" s="235"/>
      <c r="N8" s="235"/>
      <c r="O8" s="235"/>
      <c r="P8" s="235"/>
      <c r="Q8" s="235"/>
      <c r="R8" s="235"/>
      <c r="S8" s="235"/>
      <c r="T8" s="235"/>
      <c r="U8" s="235"/>
      <c r="V8" s="235" t="s">
        <v>306</v>
      </c>
      <c r="W8" s="235" t="s">
        <v>216</v>
      </c>
      <c r="X8" s="235" t="s">
        <v>306</v>
      </c>
      <c r="Y8" s="235"/>
      <c r="Z8" s="235"/>
      <c r="AA8" s="235" t="s">
        <v>31</v>
      </c>
      <c r="AB8" s="235" t="s">
        <v>32</v>
      </c>
      <c r="AC8" s="235" t="s">
        <v>32</v>
      </c>
      <c r="AD8" s="235" t="s">
        <v>235</v>
      </c>
      <c r="AE8" s="235" t="s">
        <v>235</v>
      </c>
      <c r="AF8" s="235" t="s">
        <v>32</v>
      </c>
      <c r="AG8" s="235" t="s">
        <v>235</v>
      </c>
      <c r="AQ8" s="81"/>
      <c r="AR8" s="27"/>
    </row>
    <row r="9" spans="2:44" ht="18" customHeight="1" x14ac:dyDescent="0.25">
      <c r="D9" s="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Q9" s="9"/>
      <c r="AR9" s="9"/>
    </row>
    <row r="10" spans="2:44" ht="18" customHeight="1" x14ac:dyDescent="0.25">
      <c r="B10" s="422" t="s">
        <v>33</v>
      </c>
      <c r="C10" s="423"/>
      <c r="E10" s="236"/>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Q10" s="9"/>
      <c r="AR10" s="9"/>
    </row>
    <row r="11" spans="2:44" ht="18" customHeight="1" x14ac:dyDescent="0.25">
      <c r="B11" s="449" t="s">
        <v>307</v>
      </c>
      <c r="C11" s="451"/>
      <c r="E11" s="236"/>
      <c r="F11" s="236"/>
      <c r="G11" s="236"/>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Q11" s="9"/>
      <c r="AR11" s="9"/>
    </row>
    <row r="12" spans="2:44" ht="18" customHeight="1" x14ac:dyDescent="0.25">
      <c r="B12" s="450"/>
      <c r="C12" s="452"/>
      <c r="E12" s="236"/>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Q12" s="9"/>
      <c r="AR12" s="9"/>
    </row>
    <row r="13" spans="2:44" ht="18" customHeight="1" x14ac:dyDescent="0.25">
      <c r="B13" s="449" t="s">
        <v>308</v>
      </c>
      <c r="C13" s="447"/>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Q13" s="9"/>
      <c r="AR13" s="9"/>
    </row>
    <row r="14" spans="2:44" s="5" customFormat="1" ht="18" customHeight="1" x14ac:dyDescent="0.25">
      <c r="B14" s="455"/>
      <c r="C14" s="447"/>
      <c r="E14" s="236"/>
      <c r="F14" s="236"/>
      <c r="G14" s="236"/>
      <c r="H14" s="236"/>
      <c r="I14" s="236"/>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Q14" s="9"/>
      <c r="AR14" s="9"/>
    </row>
    <row r="15" spans="2:44" s="5" customFormat="1" ht="18" customHeight="1" x14ac:dyDescent="0.25">
      <c r="B15" s="450"/>
      <c r="C15" s="447"/>
      <c r="E15" s="236"/>
      <c r="F15" s="236"/>
      <c r="G15" s="236"/>
      <c r="H15" s="236"/>
      <c r="I15" s="236"/>
      <c r="J15" s="236"/>
      <c r="K15" s="236"/>
      <c r="L15" s="236"/>
      <c r="M15" s="236"/>
      <c r="N15" s="236"/>
      <c r="O15" s="236"/>
      <c r="P15" s="236"/>
      <c r="Q15" s="236"/>
      <c r="R15" s="236"/>
      <c r="S15" s="236"/>
      <c r="T15" s="236"/>
      <c r="U15" s="236"/>
      <c r="V15" s="236"/>
      <c r="W15" s="236"/>
      <c r="X15" s="236"/>
      <c r="Y15" s="236"/>
      <c r="Z15" s="236"/>
      <c r="AA15" s="236"/>
      <c r="AB15" s="236"/>
      <c r="AC15" s="236"/>
      <c r="AD15" s="236"/>
      <c r="AE15" s="236"/>
      <c r="AF15" s="236"/>
      <c r="AG15" s="236"/>
      <c r="AQ15" s="9"/>
      <c r="AR15" s="9"/>
    </row>
    <row r="16" spans="2:44" s="5" customFormat="1" ht="18" customHeight="1" x14ac:dyDescent="0.25">
      <c r="B16" s="228" t="s">
        <v>309</v>
      </c>
      <c r="C16" s="229"/>
      <c r="D16" s="2"/>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Q16" s="9"/>
      <c r="AR16" s="9"/>
    </row>
    <row r="17" spans="2:44" s="5" customFormat="1" ht="18" customHeight="1" x14ac:dyDescent="0.25">
      <c r="B17" s="453" t="s">
        <v>310</v>
      </c>
      <c r="C17" s="237"/>
      <c r="D17" s="3"/>
      <c r="E17" s="236"/>
      <c r="F17" s="236"/>
      <c r="G17" s="236"/>
      <c r="H17" s="236"/>
      <c r="I17" s="236"/>
      <c r="J17" s="236"/>
      <c r="K17" s="236"/>
      <c r="L17" s="236"/>
      <c r="M17" s="236"/>
      <c r="N17" s="236"/>
      <c r="O17" s="236"/>
      <c r="P17" s="236"/>
      <c r="Q17" s="236"/>
      <c r="R17" s="236"/>
      <c r="S17" s="236"/>
      <c r="T17" s="236"/>
      <c r="U17" s="236"/>
      <c r="V17" s="236"/>
      <c r="W17" s="236"/>
      <c r="X17" s="236"/>
      <c r="Y17" s="236"/>
      <c r="Z17" s="236"/>
      <c r="AA17" s="236"/>
      <c r="AB17" s="236"/>
      <c r="AC17" s="236"/>
      <c r="AD17" s="236"/>
      <c r="AE17" s="236"/>
      <c r="AF17" s="236"/>
      <c r="AG17" s="236"/>
      <c r="AQ17" s="9"/>
      <c r="AR17" s="9"/>
    </row>
    <row r="18" spans="2:44" s="5" customFormat="1" ht="18" customHeight="1" x14ac:dyDescent="0.25">
      <c r="B18" s="454"/>
      <c r="C18" s="238"/>
      <c r="D18" s="3"/>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Q18" s="9"/>
      <c r="AR18" s="9"/>
    </row>
    <row r="19" spans="2:44" s="5" customFormat="1" ht="18" customHeight="1" x14ac:dyDescent="0.25">
      <c r="B19" s="113"/>
      <c r="C19" s="9"/>
      <c r="D19" s="3"/>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Q19" s="9"/>
      <c r="AR19" s="9"/>
    </row>
    <row r="20" spans="2:44" s="5" customFormat="1" ht="18" customHeight="1" x14ac:dyDescent="0.25">
      <c r="B20" s="422" t="s">
        <v>34</v>
      </c>
      <c r="C20" s="448"/>
      <c r="D20" s="3"/>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Q20" s="9"/>
      <c r="AR20" s="9"/>
    </row>
    <row r="21" spans="2:44" s="5" customFormat="1" ht="18" customHeight="1" x14ac:dyDescent="0.25">
      <c r="B21" s="228" t="s">
        <v>311</v>
      </c>
      <c r="C21" s="239" t="s">
        <v>238</v>
      </c>
      <c r="D21" s="4"/>
      <c r="E21" s="236"/>
      <c r="F21" s="240"/>
      <c r="G21" s="240"/>
      <c r="H21" s="241"/>
      <c r="I21" s="240"/>
      <c r="J21" s="240"/>
      <c r="K21" s="240"/>
      <c r="L21" s="242"/>
      <c r="M21" s="240"/>
      <c r="N21" s="240"/>
      <c r="O21" s="240"/>
      <c r="P21" s="241"/>
      <c r="Q21" s="240"/>
      <c r="R21" s="240"/>
      <c r="S21" s="240"/>
      <c r="T21" s="241"/>
      <c r="U21" s="240"/>
      <c r="V21" s="240"/>
      <c r="W21" s="243"/>
      <c r="X21" s="240"/>
      <c r="Y21" s="244"/>
      <c r="Z21" s="244"/>
      <c r="AA21" s="244"/>
      <c r="AB21" s="244"/>
      <c r="AC21" s="244"/>
      <c r="AD21" s="244"/>
      <c r="AE21" s="244"/>
      <c r="AF21" s="244"/>
      <c r="AG21" s="244"/>
      <c r="AQ21" s="9"/>
      <c r="AR21" s="27"/>
    </row>
    <row r="22" spans="2:44" s="5" customFormat="1" ht="18" customHeight="1" x14ac:dyDescent="0.25">
      <c r="B22" s="234" t="s">
        <v>217</v>
      </c>
      <c r="C22" s="403">
        <v>608.76119197218861</v>
      </c>
      <c r="D22" s="6"/>
      <c r="E22" s="236"/>
      <c r="F22" s="240"/>
      <c r="G22" s="240"/>
      <c r="H22" s="241"/>
      <c r="I22" s="240"/>
      <c r="J22" s="240"/>
      <c r="K22" s="240"/>
      <c r="L22" s="242"/>
      <c r="M22" s="240"/>
      <c r="N22" s="240"/>
      <c r="O22" s="240"/>
      <c r="P22" s="241"/>
      <c r="Q22" s="240"/>
      <c r="R22" s="240"/>
      <c r="S22" s="240"/>
      <c r="T22" s="241"/>
      <c r="U22" s="240"/>
      <c r="V22" s="240"/>
      <c r="W22" s="243"/>
      <c r="X22" s="240"/>
      <c r="Y22" s="244"/>
      <c r="Z22" s="244"/>
      <c r="AA22" s="244"/>
      <c r="AB22" s="244"/>
      <c r="AC22" s="244"/>
      <c r="AD22" s="244"/>
      <c r="AE22" s="244"/>
      <c r="AF22" s="244"/>
      <c r="AG22" s="244"/>
      <c r="AQ22" s="27"/>
      <c r="AR22" s="27"/>
    </row>
    <row r="23" spans="2:44" s="5" customFormat="1" ht="18" customHeight="1" x14ac:dyDescent="0.25">
      <c r="B23" s="234" t="s">
        <v>218</v>
      </c>
      <c r="C23" s="399"/>
      <c r="D23" s="6"/>
      <c r="E23" s="236"/>
      <c r="F23" s="240"/>
      <c r="G23" s="240"/>
      <c r="H23" s="241"/>
      <c r="I23" s="240"/>
      <c r="J23" s="240"/>
      <c r="K23" s="240"/>
      <c r="L23" s="242"/>
      <c r="M23" s="240"/>
      <c r="N23" s="240"/>
      <c r="O23" s="240"/>
      <c r="P23" s="241"/>
      <c r="Q23" s="240"/>
      <c r="R23" s="240"/>
      <c r="S23" s="240"/>
      <c r="T23" s="241"/>
      <c r="U23" s="240"/>
      <c r="V23" s="240"/>
      <c r="W23" s="243"/>
      <c r="X23" s="240"/>
      <c r="Y23" s="244"/>
      <c r="Z23" s="244"/>
      <c r="AA23" s="244"/>
      <c r="AB23" s="244"/>
      <c r="AC23" s="244"/>
      <c r="AD23" s="244"/>
      <c r="AE23" s="244"/>
      <c r="AF23" s="244"/>
      <c r="AG23" s="244"/>
      <c r="AQ23" s="27"/>
      <c r="AR23" s="77"/>
    </row>
    <row r="24" spans="2:44" s="5" customFormat="1" ht="18" customHeight="1" x14ac:dyDescent="0.25">
      <c r="B24" s="234" t="s">
        <v>312</v>
      </c>
      <c r="C24" s="399"/>
      <c r="D24" s="6"/>
      <c r="E24" s="236"/>
      <c r="F24" s="240"/>
      <c r="G24" s="240"/>
      <c r="H24" s="241"/>
      <c r="I24" s="240"/>
      <c r="J24" s="240"/>
      <c r="K24" s="240"/>
      <c r="L24" s="242"/>
      <c r="M24" s="240"/>
      <c r="N24" s="240"/>
      <c r="O24" s="240"/>
      <c r="P24" s="241"/>
      <c r="Q24" s="240"/>
      <c r="R24" s="240"/>
      <c r="S24" s="240"/>
      <c r="T24" s="241"/>
      <c r="U24" s="240"/>
      <c r="V24" s="240"/>
      <c r="W24" s="243"/>
      <c r="X24" s="240"/>
      <c r="Y24" s="244"/>
      <c r="Z24" s="244"/>
      <c r="AA24" s="244"/>
      <c r="AB24" s="244"/>
      <c r="AC24" s="244"/>
      <c r="AD24" s="244"/>
      <c r="AE24" s="244"/>
      <c r="AF24" s="244"/>
      <c r="AG24" s="244"/>
      <c r="AQ24" s="77"/>
      <c r="AR24" s="77"/>
    </row>
    <row r="25" spans="2:44" s="5" customFormat="1" ht="18" customHeight="1" x14ac:dyDescent="0.25">
      <c r="B25" s="234" t="s">
        <v>313</v>
      </c>
      <c r="C25" s="402"/>
      <c r="D25" s="6"/>
      <c r="E25" s="236"/>
      <c r="F25" s="240"/>
      <c r="G25" s="240"/>
      <c r="H25" s="241"/>
      <c r="I25" s="240"/>
      <c r="J25" s="240"/>
      <c r="K25" s="240"/>
      <c r="L25" s="242"/>
      <c r="M25" s="240"/>
      <c r="N25" s="240"/>
      <c r="O25" s="240"/>
      <c r="P25" s="241"/>
      <c r="Q25" s="240"/>
      <c r="R25" s="240"/>
      <c r="S25" s="240"/>
      <c r="T25" s="241"/>
      <c r="U25" s="240"/>
      <c r="V25" s="240"/>
      <c r="W25" s="243"/>
      <c r="X25" s="240"/>
      <c r="Y25" s="244"/>
      <c r="Z25" s="244"/>
      <c r="AA25" s="244"/>
      <c r="AB25" s="244"/>
      <c r="AC25" s="244"/>
      <c r="AD25" s="244"/>
      <c r="AE25" s="244"/>
      <c r="AF25" s="244"/>
      <c r="AG25" s="244"/>
      <c r="AQ25" s="77"/>
      <c r="AR25" s="77"/>
    </row>
    <row r="26" spans="2:44" s="5" customFormat="1" ht="18" customHeight="1" x14ac:dyDescent="0.25">
      <c r="B26" s="234" t="s">
        <v>314</v>
      </c>
      <c r="C26" s="399"/>
      <c r="D26" s="6"/>
      <c r="E26" s="236"/>
      <c r="F26" s="240"/>
      <c r="G26" s="240"/>
      <c r="H26" s="241"/>
      <c r="I26" s="240"/>
      <c r="J26" s="240"/>
      <c r="K26" s="240"/>
      <c r="L26" s="242"/>
      <c r="M26" s="240"/>
      <c r="N26" s="240"/>
      <c r="O26" s="240"/>
      <c r="P26" s="241"/>
      <c r="Q26" s="240"/>
      <c r="R26" s="240"/>
      <c r="S26" s="240"/>
      <c r="T26" s="241"/>
      <c r="U26" s="240"/>
      <c r="V26" s="240"/>
      <c r="W26" s="243"/>
      <c r="X26" s="240"/>
      <c r="Y26" s="244"/>
      <c r="Z26" s="244"/>
      <c r="AA26" s="244"/>
      <c r="AB26" s="244"/>
      <c r="AC26" s="244"/>
      <c r="AD26" s="244"/>
      <c r="AE26" s="244"/>
      <c r="AF26" s="244"/>
      <c r="AG26" s="244"/>
      <c r="AQ26" s="77"/>
      <c r="AR26" s="77"/>
    </row>
    <row r="27" spans="2:44" s="5" customFormat="1" ht="18" customHeight="1" x14ac:dyDescent="0.25">
      <c r="B27" s="234" t="s">
        <v>219</v>
      </c>
      <c r="C27" s="399"/>
      <c r="D27" s="6"/>
      <c r="E27" s="236"/>
      <c r="F27" s="240"/>
      <c r="G27" s="240"/>
      <c r="H27" s="241"/>
      <c r="I27" s="240"/>
      <c r="J27" s="240"/>
      <c r="K27" s="240"/>
      <c r="L27" s="242"/>
      <c r="M27" s="240"/>
      <c r="N27" s="240"/>
      <c r="O27" s="240"/>
      <c r="P27" s="241"/>
      <c r="Q27" s="240"/>
      <c r="R27" s="240"/>
      <c r="S27" s="240"/>
      <c r="T27" s="241"/>
      <c r="U27" s="240"/>
      <c r="V27" s="240"/>
      <c r="W27" s="243"/>
      <c r="X27" s="240"/>
      <c r="Y27" s="244"/>
      <c r="Z27" s="244"/>
      <c r="AA27" s="244"/>
      <c r="AB27" s="244"/>
      <c r="AC27" s="244"/>
      <c r="AD27" s="244"/>
      <c r="AE27" s="244"/>
      <c r="AF27" s="244"/>
      <c r="AG27" s="244"/>
      <c r="AQ27" s="27"/>
      <c r="AR27" s="77"/>
    </row>
    <row r="28" spans="2:44" s="5" customFormat="1" ht="18" customHeight="1" x14ac:dyDescent="0.25">
      <c r="B28" s="234" t="s">
        <v>315</v>
      </c>
      <c r="C28" s="399"/>
      <c r="D28" s="6"/>
      <c r="E28" s="236"/>
      <c r="F28" s="240"/>
      <c r="G28" s="240"/>
      <c r="H28" s="241"/>
      <c r="I28" s="240"/>
      <c r="J28" s="240"/>
      <c r="K28" s="240"/>
      <c r="L28" s="242"/>
      <c r="M28" s="240"/>
      <c r="N28" s="240"/>
      <c r="O28" s="240"/>
      <c r="P28" s="241"/>
      <c r="Q28" s="240"/>
      <c r="R28" s="240"/>
      <c r="S28" s="240"/>
      <c r="T28" s="241"/>
      <c r="U28" s="240"/>
      <c r="V28" s="240"/>
      <c r="W28" s="243"/>
      <c r="X28" s="240"/>
      <c r="Y28" s="244"/>
      <c r="Z28" s="244"/>
      <c r="AA28" s="244"/>
      <c r="AB28" s="244"/>
      <c r="AC28" s="244"/>
      <c r="AD28" s="244"/>
      <c r="AE28" s="244"/>
      <c r="AF28" s="244"/>
      <c r="AG28" s="244"/>
      <c r="AQ28" s="1"/>
      <c r="AR28" s="77"/>
    </row>
    <row r="29" spans="2:44" s="5" customFormat="1" ht="18" customHeight="1" x14ac:dyDescent="0.25">
      <c r="B29" s="234" t="s">
        <v>316</v>
      </c>
      <c r="C29" s="400"/>
      <c r="D29" s="6"/>
      <c r="E29" s="236"/>
      <c r="F29" s="240"/>
      <c r="G29" s="240"/>
      <c r="H29" s="241"/>
      <c r="I29" s="240"/>
      <c r="J29" s="240"/>
      <c r="K29" s="240"/>
      <c r="L29" s="242"/>
      <c r="M29" s="240"/>
      <c r="N29" s="240"/>
      <c r="O29" s="240"/>
      <c r="P29" s="241"/>
      <c r="Q29" s="240"/>
      <c r="R29" s="240"/>
      <c r="S29" s="240"/>
      <c r="T29" s="241"/>
      <c r="U29" s="240"/>
      <c r="V29" s="240"/>
      <c r="W29" s="243"/>
      <c r="X29" s="240"/>
      <c r="Y29" s="244"/>
      <c r="Z29" s="244"/>
      <c r="AA29" s="244"/>
      <c r="AB29" s="244"/>
      <c r="AC29" s="244"/>
      <c r="AD29" s="244"/>
      <c r="AE29" s="244"/>
      <c r="AF29" s="244"/>
      <c r="AG29" s="244"/>
      <c r="AQ29" s="77"/>
      <c r="AR29" s="77"/>
    </row>
    <row r="30" spans="2:44" s="5" customFormat="1" ht="18" customHeight="1" x14ac:dyDescent="0.25">
      <c r="B30" s="234" t="s">
        <v>317</v>
      </c>
      <c r="C30" s="401"/>
      <c r="E30" s="236"/>
      <c r="F30" s="240"/>
      <c r="G30" s="240"/>
      <c r="H30" s="241"/>
      <c r="I30" s="240"/>
      <c r="J30" s="240"/>
      <c r="K30" s="240"/>
      <c r="L30" s="242"/>
      <c r="M30" s="240"/>
      <c r="N30" s="240"/>
      <c r="O30" s="240"/>
      <c r="P30" s="241"/>
      <c r="Q30" s="240"/>
      <c r="R30" s="240"/>
      <c r="S30" s="240"/>
      <c r="T30" s="241"/>
      <c r="U30" s="240"/>
      <c r="V30" s="240"/>
      <c r="W30" s="243"/>
      <c r="X30" s="240"/>
      <c r="Y30" s="244"/>
      <c r="Z30" s="244"/>
      <c r="AA30" s="244"/>
      <c r="AB30" s="244"/>
      <c r="AC30" s="244"/>
      <c r="AD30" s="244"/>
      <c r="AE30" s="244"/>
      <c r="AF30" s="244"/>
      <c r="AG30" s="244"/>
      <c r="AQ30" s="77"/>
      <c r="AR30" s="77"/>
    </row>
    <row r="31" spans="2:44" s="5" customFormat="1" ht="18" customHeight="1" x14ac:dyDescent="0.25">
      <c r="B31" s="234" t="s">
        <v>318</v>
      </c>
      <c r="C31" s="401"/>
      <c r="E31" s="236"/>
      <c r="F31" s="240"/>
      <c r="G31" s="240"/>
      <c r="H31" s="241"/>
      <c r="I31" s="240"/>
      <c r="J31" s="240"/>
      <c r="K31" s="240"/>
      <c r="L31" s="242"/>
      <c r="M31" s="240"/>
      <c r="N31" s="240"/>
      <c r="O31" s="240"/>
      <c r="P31" s="241"/>
      <c r="Q31" s="240"/>
      <c r="R31" s="240"/>
      <c r="S31" s="240"/>
      <c r="T31" s="241"/>
      <c r="U31" s="240"/>
      <c r="V31" s="240"/>
      <c r="W31" s="243"/>
      <c r="X31" s="240"/>
      <c r="Y31" s="244"/>
      <c r="Z31" s="244"/>
      <c r="AA31" s="244"/>
      <c r="AB31" s="244"/>
      <c r="AC31" s="244"/>
      <c r="AD31" s="244"/>
      <c r="AE31" s="244"/>
      <c r="AF31" s="244"/>
      <c r="AG31" s="244"/>
      <c r="AQ31" s="77"/>
      <c r="AR31" s="77"/>
    </row>
    <row r="32" spans="2:44" s="5" customFormat="1" ht="18" customHeight="1" x14ac:dyDescent="0.25">
      <c r="B32" s="234" t="s">
        <v>319</v>
      </c>
      <c r="C32" s="401"/>
      <c r="E32" s="236"/>
      <c r="F32" s="240"/>
      <c r="G32" s="240"/>
      <c r="H32" s="241"/>
      <c r="I32" s="240"/>
      <c r="J32" s="240"/>
      <c r="K32" s="240"/>
      <c r="L32" s="242"/>
      <c r="M32" s="240"/>
      <c r="N32" s="240"/>
      <c r="O32" s="240"/>
      <c r="P32" s="241"/>
      <c r="Q32" s="240"/>
      <c r="R32" s="240"/>
      <c r="S32" s="240"/>
      <c r="T32" s="241"/>
      <c r="U32" s="240"/>
      <c r="V32" s="240"/>
      <c r="W32" s="243"/>
      <c r="X32" s="240"/>
      <c r="Y32" s="244"/>
      <c r="Z32" s="244"/>
      <c r="AA32" s="244"/>
      <c r="AB32" s="244"/>
      <c r="AC32" s="244"/>
      <c r="AD32" s="244"/>
      <c r="AE32" s="244"/>
      <c r="AF32" s="244"/>
      <c r="AG32" s="244"/>
      <c r="AQ32" s="77"/>
      <c r="AR32" s="77"/>
    </row>
    <row r="33" spans="2:33" s="8" customFormat="1" ht="18" customHeight="1" x14ac:dyDescent="0.25">
      <c r="B33" s="234" t="s">
        <v>320</v>
      </c>
      <c r="C33" s="245"/>
    </row>
    <row r="34" spans="2:33" s="27" customFormat="1" ht="18" customHeight="1" x14ac:dyDescent="0.25">
      <c r="B34" s="246" t="s">
        <v>321</v>
      </c>
      <c r="C34" s="245"/>
    </row>
    <row r="35" spans="2:33" s="27" customFormat="1" ht="18" customHeight="1" x14ac:dyDescent="0.25">
      <c r="B35" s="187"/>
      <c r="C35" s="179"/>
      <c r="E35" s="78"/>
      <c r="F35" s="78"/>
      <c r="G35" s="78"/>
      <c r="H35" s="78"/>
      <c r="I35" s="78"/>
      <c r="J35" s="78"/>
      <c r="K35" s="78"/>
      <c r="L35" s="78"/>
      <c r="M35" s="78"/>
      <c r="N35" s="78"/>
      <c r="O35" s="78"/>
      <c r="P35" s="78"/>
      <c r="Q35" s="78"/>
      <c r="R35" s="78"/>
      <c r="S35" s="78"/>
      <c r="T35" s="78"/>
      <c r="U35" s="78"/>
      <c r="V35" s="78"/>
      <c r="W35" s="78"/>
      <c r="X35" s="78"/>
      <c r="Y35" s="78"/>
      <c r="Z35" s="78"/>
      <c r="AA35" s="78"/>
      <c r="AC35" s="148"/>
      <c r="AD35" s="148"/>
      <c r="AE35" s="148"/>
      <c r="AF35" s="148"/>
      <c r="AG35" s="148"/>
    </row>
    <row r="36" spans="2:33" s="27" customFormat="1" ht="18" customHeight="1" x14ac:dyDescent="0.25">
      <c r="E36" s="78"/>
      <c r="F36" s="78"/>
      <c r="G36" s="78"/>
      <c r="H36" s="78"/>
      <c r="I36" s="78"/>
      <c r="J36" s="78"/>
      <c r="K36" s="78"/>
      <c r="L36" s="78"/>
      <c r="M36" s="78"/>
      <c r="N36" s="78"/>
      <c r="O36" s="78"/>
      <c r="P36" s="78"/>
      <c r="Q36" s="78"/>
      <c r="R36" s="78"/>
      <c r="S36" s="78"/>
      <c r="T36" s="78"/>
      <c r="U36" s="78"/>
      <c r="V36" s="78"/>
      <c r="W36" s="148"/>
      <c r="X36" s="148"/>
      <c r="Y36" s="105"/>
      <c r="Z36" s="105"/>
      <c r="AA36" s="105"/>
      <c r="AB36" s="105"/>
      <c r="AC36" s="105"/>
      <c r="AD36" s="105"/>
      <c r="AE36" s="105"/>
      <c r="AF36" s="105"/>
      <c r="AG36" s="105"/>
    </row>
    <row r="37" spans="2:33" s="27" customFormat="1" ht="18" customHeight="1" x14ac:dyDescent="0.25">
      <c r="E37" s="147"/>
      <c r="F37" s="147"/>
      <c r="G37" s="147"/>
      <c r="H37" s="147"/>
      <c r="I37" s="147"/>
      <c r="J37" s="147"/>
      <c r="K37" s="147"/>
      <c r="L37" s="147"/>
      <c r="M37" s="147"/>
      <c r="N37" s="147"/>
      <c r="O37" s="147"/>
      <c r="P37" s="147"/>
      <c r="Q37" s="147"/>
      <c r="R37" s="147"/>
      <c r="S37" s="147"/>
      <c r="T37" s="147"/>
      <c r="U37" s="147"/>
      <c r="W37" s="106"/>
      <c r="X37" s="106"/>
      <c r="Y37" s="147"/>
      <c r="Z37" s="147"/>
      <c r="AA37" s="147"/>
      <c r="AC37" s="90"/>
      <c r="AD37" s="90"/>
      <c r="AE37" s="90"/>
      <c r="AF37" s="90"/>
      <c r="AG37" s="90"/>
    </row>
    <row r="38" spans="2:33" s="27" customFormat="1" ht="18" customHeight="1" x14ac:dyDescent="0.25">
      <c r="E38" s="77"/>
      <c r="F38" s="77"/>
      <c r="G38" s="77"/>
      <c r="H38" s="77"/>
      <c r="I38" s="77"/>
      <c r="J38" s="77"/>
      <c r="K38" s="77"/>
      <c r="L38" s="77"/>
      <c r="M38" s="77"/>
      <c r="N38" s="77"/>
      <c r="O38" s="77"/>
      <c r="P38" s="77"/>
      <c r="Q38" s="77"/>
      <c r="R38" s="77"/>
      <c r="S38" s="77"/>
      <c r="T38" s="77"/>
      <c r="U38" s="77"/>
      <c r="V38" s="90"/>
      <c r="W38" s="90"/>
      <c r="X38" s="90"/>
      <c r="Y38" s="79"/>
      <c r="Z38" s="79"/>
      <c r="AA38" s="79"/>
      <c r="AC38" s="90"/>
      <c r="AD38" s="90"/>
      <c r="AE38" s="90"/>
      <c r="AF38" s="90"/>
      <c r="AG38" s="90"/>
    </row>
    <row r="39" spans="2:33" s="9" customFormat="1" ht="18" customHeight="1" x14ac:dyDescent="0.25">
      <c r="V39" s="90"/>
      <c r="W39" s="90"/>
      <c r="X39" s="90"/>
      <c r="Y39" s="79"/>
      <c r="Z39" s="79"/>
      <c r="AA39" s="79"/>
      <c r="AC39" s="90"/>
      <c r="AD39" s="90"/>
      <c r="AE39" s="90"/>
      <c r="AF39" s="90"/>
      <c r="AG39" s="90"/>
    </row>
    <row r="40" spans="2:33" s="9" customFormat="1" ht="18" customHeight="1" x14ac:dyDescent="0.25">
      <c r="B40" s="1"/>
      <c r="C40" s="102"/>
      <c r="E40" s="77"/>
      <c r="F40" s="77"/>
      <c r="G40" s="77"/>
      <c r="H40" s="77"/>
      <c r="I40" s="77"/>
      <c r="J40" s="77"/>
      <c r="K40" s="77"/>
      <c r="L40" s="77"/>
      <c r="M40" s="77"/>
      <c r="N40" s="77"/>
      <c r="O40" s="77"/>
      <c r="P40" s="77"/>
      <c r="Q40" s="77"/>
      <c r="R40" s="77"/>
      <c r="S40" s="77"/>
      <c r="T40" s="77"/>
      <c r="U40" s="77"/>
      <c r="V40" s="90"/>
      <c r="W40" s="90"/>
      <c r="X40" s="90"/>
      <c r="Y40" s="79"/>
      <c r="Z40" s="79"/>
      <c r="AA40" s="79"/>
      <c r="AC40" s="91"/>
      <c r="AD40" s="91"/>
      <c r="AE40" s="91"/>
      <c r="AF40" s="91"/>
      <c r="AG40" s="91"/>
    </row>
    <row r="41" spans="2:33" s="9" customFormat="1" ht="18" customHeight="1" x14ac:dyDescent="0.25">
      <c r="B41" s="1"/>
      <c r="C41" s="103"/>
      <c r="E41" s="77"/>
      <c r="F41" s="77"/>
      <c r="G41" s="77"/>
      <c r="H41" s="77"/>
      <c r="I41" s="77"/>
      <c r="J41" s="77"/>
      <c r="K41" s="77"/>
      <c r="L41" s="77"/>
      <c r="M41" s="77"/>
      <c r="N41" s="77"/>
      <c r="O41" s="77"/>
      <c r="P41" s="77"/>
      <c r="Q41" s="77"/>
      <c r="R41" s="77"/>
      <c r="S41" s="77"/>
      <c r="T41" s="77"/>
      <c r="U41" s="77"/>
      <c r="V41" s="90"/>
      <c r="W41" s="90"/>
      <c r="X41" s="90"/>
      <c r="Y41" s="79"/>
      <c r="Z41" s="79"/>
      <c r="AA41" s="79"/>
      <c r="AC41" s="90"/>
      <c r="AD41" s="90"/>
      <c r="AE41" s="90"/>
      <c r="AF41" s="90"/>
      <c r="AG41" s="90"/>
    </row>
    <row r="42" spans="2:33" s="9" customFormat="1" ht="18" customHeight="1" x14ac:dyDescent="0.25">
      <c r="B42" s="1"/>
      <c r="C42" s="103"/>
      <c r="E42" s="77"/>
      <c r="F42" s="77"/>
      <c r="G42" s="77"/>
      <c r="H42" s="77"/>
      <c r="I42" s="77"/>
      <c r="J42" s="77"/>
      <c r="K42" s="77"/>
      <c r="L42" s="77"/>
      <c r="M42" s="77"/>
      <c r="N42" s="77"/>
      <c r="O42" s="77"/>
      <c r="P42" s="77"/>
      <c r="Q42" s="77"/>
      <c r="R42" s="77"/>
      <c r="S42" s="77"/>
      <c r="T42" s="77"/>
      <c r="U42" s="77"/>
      <c r="V42" s="90"/>
      <c r="W42" s="90"/>
      <c r="X42" s="90"/>
      <c r="Y42" s="79"/>
      <c r="Z42" s="79"/>
      <c r="AA42" s="79"/>
      <c r="AC42" s="90"/>
      <c r="AD42" s="90"/>
      <c r="AE42" s="90"/>
      <c r="AF42" s="90"/>
      <c r="AG42" s="90"/>
    </row>
    <row r="43" spans="2:33" s="9" customFormat="1" ht="18" customHeight="1" x14ac:dyDescent="0.25">
      <c r="B43" s="1"/>
      <c r="C43" s="1"/>
      <c r="E43" s="77"/>
      <c r="F43" s="77"/>
      <c r="G43" s="77"/>
      <c r="H43" s="77"/>
      <c r="I43" s="77"/>
      <c r="J43" s="77"/>
      <c r="K43" s="77"/>
      <c r="L43" s="77"/>
      <c r="M43" s="77"/>
      <c r="N43" s="77"/>
      <c r="O43" s="77"/>
      <c r="P43" s="77"/>
      <c r="Q43" s="77"/>
      <c r="R43" s="77"/>
      <c r="S43" s="77"/>
      <c r="T43" s="77"/>
      <c r="U43" s="77"/>
      <c r="V43" s="90"/>
      <c r="W43" s="90"/>
      <c r="X43" s="90"/>
      <c r="Y43" s="79"/>
      <c r="Z43" s="79"/>
      <c r="AA43" s="79"/>
      <c r="AC43" s="1"/>
      <c r="AD43" s="1"/>
      <c r="AE43" s="1"/>
      <c r="AF43" s="1"/>
      <c r="AG43" s="27"/>
    </row>
    <row r="44" spans="2:33" s="9" customFormat="1" ht="18" customHeight="1" x14ac:dyDescent="0.25">
      <c r="B44" s="1"/>
      <c r="C44" s="104"/>
      <c r="E44" s="77"/>
      <c r="F44" s="77"/>
      <c r="G44" s="77"/>
      <c r="H44" s="77"/>
      <c r="I44" s="77"/>
      <c r="J44" s="77"/>
      <c r="K44" s="77"/>
      <c r="L44" s="77"/>
      <c r="M44" s="77"/>
      <c r="N44" s="77"/>
      <c r="O44" s="77"/>
      <c r="P44" s="77"/>
      <c r="Q44" s="77"/>
      <c r="R44" s="77"/>
      <c r="S44" s="77"/>
      <c r="T44" s="77"/>
      <c r="U44" s="77"/>
      <c r="V44" s="88"/>
      <c r="W44" s="88"/>
      <c r="X44" s="88"/>
      <c r="Y44" s="79"/>
      <c r="Z44" s="79"/>
      <c r="AA44" s="79"/>
      <c r="AC44" s="1"/>
      <c r="AD44" s="1"/>
      <c r="AE44" s="1"/>
      <c r="AF44" s="1"/>
      <c r="AG44" s="27"/>
    </row>
    <row r="45" spans="2:33" s="9" customFormat="1" ht="18" customHeight="1" x14ac:dyDescent="0.25">
      <c r="E45" s="77"/>
      <c r="F45" s="77"/>
      <c r="G45" s="77"/>
      <c r="H45" s="77"/>
      <c r="I45" s="77"/>
      <c r="J45" s="77"/>
      <c r="K45" s="77"/>
      <c r="L45" s="77"/>
      <c r="M45" s="77"/>
      <c r="N45" s="77"/>
      <c r="O45" s="77"/>
      <c r="P45" s="77"/>
      <c r="Q45" s="77"/>
      <c r="R45" s="77"/>
      <c r="S45" s="77"/>
      <c r="T45" s="77"/>
      <c r="U45" s="77"/>
      <c r="V45" s="90"/>
      <c r="W45" s="90"/>
      <c r="X45" s="90"/>
      <c r="Y45" s="79"/>
      <c r="Z45" s="79"/>
      <c r="AA45" s="79"/>
      <c r="AC45" s="1"/>
      <c r="AD45" s="1"/>
      <c r="AE45" s="1"/>
      <c r="AF45" s="1"/>
      <c r="AG45" s="27"/>
    </row>
    <row r="46" spans="2:33" s="9" customFormat="1" ht="18" customHeight="1" x14ac:dyDescent="0.25">
      <c r="E46" s="77"/>
      <c r="F46" s="77"/>
      <c r="G46" s="77"/>
      <c r="H46" s="77"/>
      <c r="I46" s="77"/>
      <c r="J46" s="77"/>
      <c r="K46" s="77"/>
      <c r="L46" s="77"/>
      <c r="M46" s="77"/>
      <c r="N46" s="77"/>
      <c r="O46" s="77"/>
      <c r="P46" s="77"/>
      <c r="Q46" s="77"/>
      <c r="R46" s="77"/>
      <c r="S46" s="77"/>
      <c r="T46" s="77"/>
      <c r="U46" s="77"/>
      <c r="V46" s="90"/>
      <c r="W46" s="90"/>
      <c r="X46" s="90"/>
      <c r="Y46" s="79"/>
      <c r="Z46" s="79"/>
      <c r="AA46" s="79"/>
      <c r="AC46" s="1"/>
      <c r="AD46" s="1"/>
      <c r="AE46" s="1"/>
      <c r="AF46" s="1"/>
      <c r="AG46" s="27"/>
    </row>
    <row r="47" spans="2:33" s="9" customFormat="1" ht="18" customHeight="1" x14ac:dyDescent="0.25">
      <c r="E47" s="77"/>
      <c r="F47" s="77"/>
      <c r="G47" s="77"/>
      <c r="H47" s="77"/>
      <c r="I47" s="77"/>
      <c r="J47" s="77"/>
      <c r="K47" s="77"/>
      <c r="L47" s="77"/>
      <c r="M47" s="77"/>
      <c r="N47" s="77"/>
      <c r="O47" s="77"/>
      <c r="P47" s="77"/>
      <c r="Q47" s="77"/>
      <c r="R47" s="77"/>
      <c r="S47" s="77"/>
      <c r="T47" s="77"/>
      <c r="U47" s="77"/>
      <c r="V47" s="88"/>
      <c r="W47" s="88"/>
      <c r="X47" s="88"/>
      <c r="Y47" s="79"/>
      <c r="Z47" s="79"/>
      <c r="AA47" s="79"/>
      <c r="AC47" s="1"/>
      <c r="AD47" s="1"/>
      <c r="AE47" s="1"/>
      <c r="AF47" s="1"/>
      <c r="AG47" s="27"/>
    </row>
    <row r="48" spans="2:33" s="9" customFormat="1" ht="18" customHeight="1" x14ac:dyDescent="0.25">
      <c r="E48" s="77"/>
      <c r="F48" s="77"/>
      <c r="G48" s="77"/>
      <c r="H48" s="77"/>
      <c r="I48" s="77"/>
      <c r="J48" s="77"/>
      <c r="K48" s="77"/>
      <c r="L48" s="77"/>
      <c r="M48" s="77"/>
      <c r="N48" s="77"/>
      <c r="O48" s="77"/>
      <c r="P48" s="77"/>
      <c r="Q48" s="77"/>
      <c r="R48" s="77"/>
      <c r="S48" s="77"/>
      <c r="T48" s="77"/>
      <c r="U48" s="77"/>
      <c r="V48" s="90"/>
      <c r="W48" s="90"/>
      <c r="X48" s="90"/>
      <c r="Y48" s="79"/>
      <c r="Z48" s="79"/>
      <c r="AA48" s="79"/>
      <c r="AC48" s="1"/>
      <c r="AD48" s="1"/>
      <c r="AE48" s="1"/>
      <c r="AF48" s="1"/>
      <c r="AG48" s="27"/>
    </row>
    <row r="49" spans="4:33" s="27" customFormat="1" ht="18" customHeight="1" x14ac:dyDescent="0.25">
      <c r="E49" s="77"/>
      <c r="F49" s="77"/>
      <c r="G49" s="77"/>
      <c r="H49" s="77"/>
      <c r="I49" s="77"/>
      <c r="J49" s="77"/>
      <c r="K49" s="77"/>
      <c r="L49" s="77"/>
      <c r="M49" s="77"/>
      <c r="N49" s="77"/>
      <c r="O49" s="77"/>
      <c r="P49" s="77"/>
      <c r="Q49" s="77"/>
      <c r="R49" s="77"/>
      <c r="S49" s="77"/>
      <c r="T49" s="77"/>
      <c r="U49" s="77"/>
      <c r="V49" s="90"/>
      <c r="W49" s="90"/>
      <c r="X49" s="90"/>
      <c r="Y49" s="79"/>
      <c r="Z49" s="79"/>
      <c r="AA49" s="79"/>
      <c r="AC49" s="1"/>
      <c r="AD49" s="1"/>
      <c r="AE49" s="1"/>
      <c r="AF49" s="1"/>
    </row>
    <row r="50" spans="4:33" s="27" customFormat="1" ht="18" customHeight="1" x14ac:dyDescent="0.25">
      <c r="E50" s="77"/>
      <c r="F50" s="77"/>
      <c r="G50" s="77"/>
      <c r="H50" s="77"/>
      <c r="I50" s="77"/>
      <c r="J50" s="77"/>
      <c r="K50" s="77"/>
      <c r="L50" s="77"/>
      <c r="M50" s="77"/>
      <c r="N50" s="77"/>
      <c r="O50" s="77"/>
      <c r="P50" s="77"/>
      <c r="Q50" s="77"/>
      <c r="R50" s="77"/>
      <c r="S50" s="77"/>
      <c r="T50" s="77"/>
      <c r="U50" s="77"/>
      <c r="V50" s="90"/>
      <c r="W50" s="90"/>
      <c r="X50" s="90"/>
      <c r="Y50" s="79"/>
      <c r="Z50" s="79"/>
      <c r="AA50" s="79"/>
    </row>
    <row r="51" spans="4:33" s="27" customFormat="1" ht="18" customHeight="1" x14ac:dyDescent="0.25">
      <c r="E51" s="77"/>
      <c r="F51" s="77"/>
      <c r="G51" s="77"/>
      <c r="H51" s="77"/>
      <c r="I51" s="77"/>
      <c r="J51" s="77"/>
      <c r="K51" s="77"/>
      <c r="L51" s="77"/>
      <c r="M51" s="77"/>
      <c r="N51" s="77"/>
      <c r="O51" s="77"/>
      <c r="P51" s="77"/>
      <c r="Q51" s="77"/>
      <c r="R51" s="77"/>
      <c r="S51" s="77"/>
      <c r="T51" s="77"/>
      <c r="U51" s="77"/>
      <c r="V51" s="90"/>
      <c r="W51" s="90"/>
      <c r="X51" s="90"/>
      <c r="Y51" s="79"/>
      <c r="Z51" s="79"/>
      <c r="AA51" s="79"/>
      <c r="AC51" s="148"/>
      <c r="AD51" s="148"/>
      <c r="AE51" s="148"/>
      <c r="AF51" s="148"/>
      <c r="AG51" s="148"/>
    </row>
    <row r="52" spans="4:33" s="27" customFormat="1" ht="18" customHeight="1" x14ac:dyDescent="0.25">
      <c r="E52" s="77"/>
      <c r="F52" s="77"/>
      <c r="G52" s="77"/>
      <c r="H52" s="77"/>
      <c r="I52" s="77"/>
      <c r="J52" s="77"/>
      <c r="K52" s="77"/>
      <c r="L52" s="77"/>
      <c r="M52" s="77"/>
      <c r="N52" s="77"/>
      <c r="O52" s="77"/>
      <c r="P52" s="77"/>
      <c r="Q52" s="77"/>
      <c r="R52" s="77"/>
      <c r="S52" s="77"/>
      <c r="T52" s="77"/>
      <c r="U52" s="77"/>
      <c r="V52" s="90"/>
      <c r="W52" s="90"/>
      <c r="X52" s="90"/>
      <c r="Y52" s="79"/>
      <c r="Z52" s="79"/>
      <c r="AA52" s="79"/>
      <c r="AC52" s="82"/>
      <c r="AD52" s="82"/>
      <c r="AE52" s="82"/>
      <c r="AF52" s="82"/>
      <c r="AG52" s="82"/>
    </row>
    <row r="53" spans="4:33" s="27" customFormat="1" ht="18" customHeight="1" x14ac:dyDescent="0.25">
      <c r="E53" s="77"/>
      <c r="F53" s="77"/>
      <c r="G53" s="77"/>
      <c r="H53" s="77"/>
      <c r="I53" s="77"/>
      <c r="J53" s="77"/>
      <c r="K53" s="77"/>
      <c r="L53" s="77"/>
      <c r="M53" s="77"/>
      <c r="N53" s="77"/>
      <c r="O53" s="77"/>
      <c r="P53" s="77"/>
      <c r="Q53" s="77"/>
      <c r="R53" s="77"/>
      <c r="S53" s="77"/>
      <c r="T53" s="77"/>
      <c r="U53" s="77"/>
      <c r="V53" s="90"/>
      <c r="W53" s="90"/>
      <c r="X53" s="90"/>
      <c r="Y53" s="79"/>
      <c r="Z53" s="79"/>
      <c r="AA53" s="79"/>
      <c r="AC53" s="82"/>
      <c r="AD53" s="82"/>
      <c r="AE53" s="82"/>
      <c r="AF53" s="82"/>
      <c r="AG53" s="82"/>
    </row>
    <row r="54" spans="4:33" s="27" customFormat="1" ht="18" customHeight="1" x14ac:dyDescent="0.25">
      <c r="E54" s="77"/>
      <c r="F54" s="77"/>
      <c r="G54" s="77"/>
      <c r="H54" s="77"/>
      <c r="I54" s="77"/>
      <c r="J54" s="77"/>
      <c r="K54" s="77"/>
      <c r="L54" s="77"/>
      <c r="M54" s="77"/>
      <c r="N54" s="77"/>
      <c r="O54" s="77"/>
      <c r="P54" s="77"/>
      <c r="Q54" s="77"/>
      <c r="R54" s="77"/>
      <c r="S54" s="77"/>
      <c r="T54" s="77"/>
      <c r="U54" s="77"/>
      <c r="V54" s="90"/>
      <c r="W54" s="90"/>
      <c r="X54" s="90"/>
      <c r="Y54" s="79"/>
      <c r="Z54" s="79"/>
      <c r="AA54" s="79"/>
      <c r="AC54" s="82"/>
      <c r="AD54" s="82"/>
      <c r="AE54" s="82"/>
      <c r="AF54" s="82"/>
      <c r="AG54" s="82"/>
    </row>
    <row r="55" spans="4:33" s="27" customFormat="1" ht="18" customHeight="1" x14ac:dyDescent="0.25">
      <c r="E55" s="77"/>
      <c r="F55" s="77"/>
      <c r="G55" s="77"/>
      <c r="H55" s="77"/>
      <c r="I55" s="77"/>
      <c r="J55" s="77"/>
      <c r="K55" s="77"/>
      <c r="L55" s="77"/>
      <c r="M55" s="77"/>
      <c r="N55" s="77"/>
      <c r="O55" s="77"/>
      <c r="P55" s="77"/>
      <c r="Q55" s="77"/>
      <c r="R55" s="77"/>
      <c r="S55" s="77"/>
      <c r="T55" s="77"/>
      <c r="U55" s="77"/>
      <c r="V55" s="90"/>
      <c r="W55" s="90"/>
      <c r="X55" s="90"/>
      <c r="Y55" s="79"/>
      <c r="Z55" s="79"/>
      <c r="AA55" s="79"/>
      <c r="AC55" s="82"/>
      <c r="AD55" s="82"/>
      <c r="AE55" s="82"/>
      <c r="AF55" s="82"/>
      <c r="AG55" s="82"/>
    </row>
    <row r="56" spans="4:33" s="27" customFormat="1" ht="18" customHeight="1" x14ac:dyDescent="0.25">
      <c r="E56" s="77"/>
      <c r="F56" s="77"/>
      <c r="G56" s="77"/>
      <c r="H56" s="77"/>
      <c r="I56" s="77"/>
      <c r="J56" s="77"/>
      <c r="K56" s="77"/>
      <c r="L56" s="77"/>
      <c r="M56" s="77"/>
      <c r="N56" s="77"/>
      <c r="O56" s="77"/>
      <c r="P56" s="77"/>
      <c r="Q56" s="77"/>
      <c r="R56" s="77"/>
      <c r="S56" s="77"/>
      <c r="T56" s="77"/>
      <c r="U56" s="77"/>
      <c r="V56" s="90"/>
      <c r="W56" s="90"/>
      <c r="X56" s="90"/>
      <c r="Y56" s="79"/>
      <c r="Z56" s="79"/>
      <c r="AA56" s="79"/>
      <c r="AC56" s="82"/>
      <c r="AD56" s="82"/>
      <c r="AE56" s="82"/>
      <c r="AF56" s="82"/>
      <c r="AG56" s="82"/>
    </row>
    <row r="57" spans="4:33" ht="18" customHeight="1" x14ac:dyDescent="0.25">
      <c r="E57" s="77"/>
      <c r="F57" s="77"/>
      <c r="G57" s="77"/>
      <c r="H57" s="77"/>
      <c r="I57" s="77"/>
      <c r="J57" s="77"/>
      <c r="K57" s="77"/>
      <c r="L57" s="77"/>
      <c r="M57" s="77"/>
      <c r="N57" s="77"/>
      <c r="O57" s="77"/>
      <c r="P57" s="77"/>
      <c r="Q57" s="77"/>
      <c r="R57" s="77"/>
      <c r="S57" s="77"/>
      <c r="T57" s="77"/>
      <c r="U57" s="77"/>
      <c r="V57" s="90"/>
      <c r="W57" s="90"/>
      <c r="X57" s="90"/>
      <c r="Y57" s="79"/>
      <c r="Z57" s="79"/>
      <c r="AA57" s="79"/>
      <c r="AC57" s="82"/>
      <c r="AD57" s="82"/>
      <c r="AE57" s="82"/>
      <c r="AF57" s="82"/>
      <c r="AG57" s="82"/>
    </row>
    <row r="58" spans="4:33" s="8" customFormat="1" ht="18" customHeight="1" x14ac:dyDescent="0.25">
      <c r="E58" s="77"/>
      <c r="F58" s="77"/>
      <c r="G58" s="77"/>
      <c r="H58" s="77"/>
      <c r="I58" s="77"/>
      <c r="J58" s="77"/>
      <c r="K58" s="77"/>
      <c r="L58" s="77"/>
      <c r="M58" s="77"/>
      <c r="N58" s="77"/>
      <c r="O58" s="77"/>
      <c r="P58" s="77"/>
      <c r="Q58" s="77"/>
      <c r="R58" s="77"/>
      <c r="S58" s="77"/>
      <c r="T58" s="77"/>
      <c r="U58" s="77"/>
      <c r="V58" s="90"/>
      <c r="W58" s="90"/>
      <c r="X58" s="90"/>
      <c r="Y58" s="79"/>
      <c r="Z58" s="79"/>
      <c r="AA58" s="79"/>
      <c r="AC58" s="1"/>
      <c r="AD58" s="1"/>
      <c r="AE58" s="1"/>
      <c r="AF58" s="1"/>
      <c r="AG58" s="1"/>
    </row>
    <row r="59" spans="4:33" s="8" customFormat="1" ht="18" customHeight="1" x14ac:dyDescent="0.25">
      <c r="E59" s="77"/>
      <c r="F59" s="77"/>
      <c r="G59" s="77"/>
      <c r="H59" s="77"/>
      <c r="I59" s="77"/>
      <c r="J59" s="77"/>
      <c r="K59" s="77"/>
      <c r="L59" s="77"/>
      <c r="M59" s="77"/>
      <c r="N59" s="77"/>
      <c r="O59" s="77"/>
      <c r="P59" s="77"/>
      <c r="Q59" s="77"/>
      <c r="R59" s="77"/>
      <c r="S59" s="77"/>
      <c r="T59" s="77"/>
      <c r="U59" s="77"/>
      <c r="V59" s="91"/>
      <c r="W59" s="91"/>
      <c r="X59" s="91"/>
      <c r="Y59" s="79"/>
      <c r="Z59" s="79"/>
      <c r="AA59" s="79"/>
    </row>
    <row r="60" spans="4:33" s="8" customFormat="1" ht="18" customHeight="1" x14ac:dyDescent="0.25">
      <c r="E60" s="101"/>
      <c r="F60" s="101"/>
      <c r="G60" s="101"/>
      <c r="H60" s="101"/>
      <c r="I60" s="101"/>
      <c r="J60" s="101"/>
      <c r="K60" s="101"/>
      <c r="L60" s="101"/>
      <c r="M60" s="101"/>
      <c r="N60" s="101"/>
      <c r="O60" s="101"/>
      <c r="P60" s="101"/>
      <c r="Q60" s="101"/>
      <c r="R60" s="101"/>
      <c r="S60" s="101"/>
      <c r="T60" s="101"/>
      <c r="U60" s="101"/>
      <c r="V60" s="90"/>
      <c r="W60" s="90"/>
      <c r="X60" s="90"/>
      <c r="Y60" s="79"/>
      <c r="Z60" s="79"/>
      <c r="AA60" s="79"/>
    </row>
    <row r="61" spans="4:33" s="8" customFormat="1" ht="18" customHeight="1" x14ac:dyDescent="0.25">
      <c r="D61" s="12"/>
      <c r="E61" s="105"/>
      <c r="F61" s="105"/>
      <c r="G61" s="105"/>
      <c r="H61" s="105"/>
      <c r="I61" s="105"/>
      <c r="J61" s="105"/>
      <c r="K61" s="105"/>
      <c r="L61" s="105"/>
      <c r="M61" s="105"/>
      <c r="N61" s="105"/>
      <c r="O61" s="105"/>
      <c r="P61" s="105"/>
      <c r="Q61" s="105"/>
      <c r="R61" s="105"/>
      <c r="S61" s="105"/>
      <c r="T61" s="105"/>
      <c r="U61" s="105"/>
      <c r="V61" s="105"/>
      <c r="W61" s="96"/>
      <c r="X61" s="96"/>
      <c r="Y61" s="83"/>
      <c r="Z61" s="83"/>
      <c r="AA61" s="83"/>
    </row>
    <row r="62" spans="4:33" s="8" customFormat="1" ht="18" customHeight="1" x14ac:dyDescent="0.25">
      <c r="D62" s="15"/>
      <c r="E62" s="13"/>
      <c r="F62" s="13"/>
      <c r="G62" s="13"/>
      <c r="H62" s="13"/>
      <c r="I62" s="13"/>
      <c r="J62" s="13"/>
      <c r="K62" s="13"/>
      <c r="L62" s="13"/>
      <c r="M62" s="13"/>
      <c r="N62" s="13"/>
      <c r="O62" s="13"/>
      <c r="P62" s="13"/>
      <c r="Q62" s="13"/>
      <c r="R62" s="13"/>
      <c r="S62" s="13"/>
      <c r="T62" s="13"/>
      <c r="U62" s="13"/>
      <c r="V62" s="13"/>
      <c r="W62" s="13"/>
      <c r="X62" s="13"/>
      <c r="Y62" s="10"/>
      <c r="Z62" s="10"/>
      <c r="AA62" s="10"/>
      <c r="AB62" s="151"/>
      <c r="AC62" s="151"/>
      <c r="AD62" s="151"/>
      <c r="AE62" s="151"/>
      <c r="AF62" s="151"/>
      <c r="AG62" s="151"/>
    </row>
    <row r="63" spans="4:33" s="8" customFormat="1" ht="18" customHeight="1" x14ac:dyDescent="0.25">
      <c r="E63" s="80"/>
      <c r="F63" s="80"/>
      <c r="G63" s="80"/>
      <c r="H63" s="80"/>
      <c r="I63" s="80"/>
      <c r="J63" s="80"/>
      <c r="K63" s="80"/>
      <c r="L63" s="80"/>
      <c r="M63" s="80"/>
      <c r="N63" s="80"/>
      <c r="O63" s="80"/>
      <c r="P63" s="80"/>
      <c r="Q63" s="80"/>
      <c r="R63" s="80"/>
      <c r="S63" s="80"/>
      <c r="T63" s="80"/>
      <c r="U63" s="80"/>
      <c r="V63" s="80"/>
      <c r="W63" s="80"/>
      <c r="X63" s="80"/>
      <c r="Y63" s="100"/>
      <c r="Z63" s="100"/>
      <c r="AA63" s="100"/>
      <c r="AB63" s="16"/>
      <c r="AC63" s="16"/>
      <c r="AD63" s="16"/>
      <c r="AE63" s="16"/>
      <c r="AF63" s="16"/>
      <c r="AG63" s="16"/>
    </row>
    <row r="64" spans="4:33" s="8" customFormat="1" ht="18" customHeight="1" x14ac:dyDescent="0.25">
      <c r="Y64" s="23"/>
      <c r="Z64" s="23"/>
      <c r="AA64" s="23"/>
      <c r="AB64" s="16"/>
      <c r="AC64" s="16"/>
      <c r="AD64" s="16"/>
      <c r="AE64" s="16"/>
      <c r="AF64" s="16"/>
      <c r="AG64" s="16"/>
    </row>
    <row r="65" spans="4:33" s="8" customFormat="1" ht="18" customHeight="1" x14ac:dyDescent="0.25"/>
    <row r="66" spans="4:33" s="8" customFormat="1" ht="18" customHeight="1" x14ac:dyDescent="0.25">
      <c r="D66" s="77"/>
      <c r="Y66" s="27"/>
      <c r="Z66" s="27"/>
      <c r="AA66" s="27"/>
      <c r="AB66" s="27"/>
      <c r="AC66" s="27"/>
      <c r="AD66" s="27"/>
      <c r="AE66" s="27"/>
      <c r="AF66" s="27"/>
      <c r="AG66" s="27"/>
    </row>
    <row r="67" spans="4:33" s="8" customFormat="1" ht="18" customHeight="1" x14ac:dyDescent="0.25">
      <c r="Y67" s="27"/>
      <c r="Z67" s="27"/>
      <c r="AA67" s="27"/>
      <c r="AB67" s="27"/>
      <c r="AC67" s="27"/>
      <c r="AD67" s="27"/>
      <c r="AE67" s="27"/>
      <c r="AF67" s="27"/>
      <c r="AG67" s="27"/>
    </row>
    <row r="68" spans="4:33" ht="18" customHeight="1" x14ac:dyDescent="0.25">
      <c r="Y68" s="27"/>
      <c r="Z68" s="27"/>
      <c r="AA68" s="27"/>
      <c r="AB68" s="27"/>
      <c r="AC68" s="27"/>
      <c r="AD68" s="27"/>
      <c r="AE68" s="27"/>
      <c r="AF68" s="27"/>
      <c r="AG68" s="27"/>
    </row>
    <row r="69" spans="4:33" ht="18" customHeight="1" x14ac:dyDescent="0.25">
      <c r="Y69" s="27"/>
      <c r="Z69" s="27"/>
      <c r="AA69" s="27"/>
      <c r="AB69" s="27"/>
      <c r="AC69" s="27"/>
      <c r="AD69" s="27"/>
      <c r="AE69" s="27"/>
      <c r="AF69" s="27"/>
      <c r="AG69" s="27"/>
    </row>
    <row r="70" spans="4:33" s="32" customFormat="1" ht="18" customHeight="1" x14ac:dyDescent="0.25">
      <c r="D70" s="77"/>
      <c r="Y70" s="27"/>
      <c r="Z70" s="27"/>
      <c r="AA70" s="27"/>
      <c r="AB70" s="27"/>
      <c r="AC70" s="27"/>
      <c r="AD70" s="27"/>
      <c r="AE70" s="27"/>
      <c r="AF70" s="27"/>
      <c r="AG70" s="27"/>
    </row>
    <row r="71" spans="4:33" s="32" customFormat="1" ht="18" customHeight="1" x14ac:dyDescent="0.25">
      <c r="Y71" s="27"/>
      <c r="Z71" s="27"/>
      <c r="AA71" s="27"/>
      <c r="AB71" s="27"/>
      <c r="AC71" s="27"/>
      <c r="AD71" s="27"/>
      <c r="AE71" s="27"/>
      <c r="AF71" s="27"/>
      <c r="AG71" s="27"/>
    </row>
    <row r="72" spans="4:33" ht="18" customHeight="1" x14ac:dyDescent="0.25">
      <c r="E72" s="77"/>
      <c r="F72" s="77"/>
      <c r="G72" s="77"/>
      <c r="H72" s="77"/>
      <c r="I72" s="77"/>
      <c r="J72" s="77"/>
      <c r="K72" s="77"/>
      <c r="L72" s="77"/>
      <c r="M72" s="77"/>
      <c r="N72" s="77"/>
      <c r="O72" s="77"/>
      <c r="P72" s="77"/>
      <c r="Q72" s="77"/>
      <c r="R72" s="77"/>
      <c r="S72" s="77"/>
      <c r="T72" s="77"/>
      <c r="U72" s="77"/>
      <c r="V72" s="77"/>
      <c r="W72" s="77"/>
      <c r="X72" s="77"/>
      <c r="Y72" s="36"/>
      <c r="Z72" s="36"/>
      <c r="AA72" s="36"/>
      <c r="AB72" s="16"/>
      <c r="AC72" s="16"/>
      <c r="AD72" s="16"/>
      <c r="AE72" s="16"/>
      <c r="AF72" s="16"/>
      <c r="AG72" s="16"/>
    </row>
    <row r="73" spans="4:33" ht="18" customHeight="1" x14ac:dyDescent="0.25">
      <c r="E73" s="77"/>
      <c r="F73" s="77"/>
      <c r="G73" s="77"/>
      <c r="H73" s="77"/>
      <c r="I73" s="77"/>
      <c r="J73" s="77"/>
      <c r="K73" s="77"/>
      <c r="L73" s="77"/>
      <c r="M73" s="77"/>
      <c r="N73" s="77"/>
      <c r="O73" s="77"/>
      <c r="P73" s="77"/>
      <c r="Q73" s="77"/>
      <c r="R73" s="77"/>
      <c r="S73" s="77"/>
      <c r="T73" s="77"/>
      <c r="U73" s="77"/>
      <c r="V73" s="77"/>
      <c r="W73" s="77"/>
      <c r="X73" s="77"/>
      <c r="Y73" s="36"/>
      <c r="Z73" s="36"/>
      <c r="AA73" s="36"/>
      <c r="AB73" s="16"/>
      <c r="AC73" s="16"/>
      <c r="AD73" s="16"/>
      <c r="AE73" s="16"/>
      <c r="AF73" s="16"/>
      <c r="AG73" s="16"/>
    </row>
    <row r="74" spans="4:33" ht="18" customHeight="1" x14ac:dyDescent="0.25">
      <c r="E74" s="77"/>
      <c r="F74" s="77"/>
      <c r="G74" s="77"/>
      <c r="H74" s="77"/>
      <c r="I74" s="77"/>
      <c r="J74" s="77"/>
      <c r="K74" s="77"/>
      <c r="L74" s="77"/>
      <c r="M74" s="77"/>
      <c r="N74" s="77"/>
      <c r="O74" s="77"/>
      <c r="P74" s="77"/>
      <c r="Q74" s="77"/>
      <c r="R74" s="77"/>
      <c r="S74" s="77"/>
      <c r="T74" s="77"/>
      <c r="U74" s="77"/>
      <c r="V74" s="77"/>
      <c r="W74" s="77"/>
      <c r="X74" s="77"/>
      <c r="Y74" s="38"/>
      <c r="Z74" s="38"/>
      <c r="AA74" s="38"/>
      <c r="AB74" s="16"/>
      <c r="AC74" s="16"/>
      <c r="AD74" s="16"/>
      <c r="AE74" s="16"/>
      <c r="AF74" s="16"/>
      <c r="AG74" s="16"/>
    </row>
    <row r="75" spans="4:33" ht="18" customHeight="1" x14ac:dyDescent="0.25">
      <c r="E75" s="77"/>
      <c r="F75" s="77"/>
      <c r="G75" s="77"/>
      <c r="H75" s="77"/>
      <c r="I75" s="77"/>
      <c r="J75" s="77"/>
      <c r="K75" s="77"/>
      <c r="L75" s="77"/>
      <c r="M75" s="77"/>
      <c r="N75" s="77"/>
      <c r="O75" s="77"/>
      <c r="P75" s="77"/>
      <c r="Q75" s="77"/>
      <c r="R75" s="77"/>
      <c r="S75" s="77"/>
      <c r="T75" s="77"/>
      <c r="U75" s="77"/>
      <c r="V75" s="77"/>
      <c r="W75" s="77"/>
      <c r="X75" s="77"/>
      <c r="Y75" s="42"/>
      <c r="Z75" s="42"/>
      <c r="AA75" s="42"/>
      <c r="AB75" s="16"/>
      <c r="AC75" s="16"/>
      <c r="AD75" s="16"/>
      <c r="AE75" s="16"/>
      <c r="AF75" s="16"/>
      <c r="AG75" s="16"/>
    </row>
    <row r="76" spans="4:33" s="27" customFormat="1" ht="18" customHeight="1" x14ac:dyDescent="0.25">
      <c r="E76" s="77"/>
      <c r="F76" s="77"/>
      <c r="G76" s="77"/>
      <c r="H76" s="77"/>
      <c r="I76" s="77"/>
      <c r="J76" s="77"/>
      <c r="K76" s="77"/>
      <c r="L76" s="77"/>
      <c r="M76" s="77"/>
      <c r="N76" s="77"/>
      <c r="O76" s="77"/>
      <c r="P76" s="77"/>
      <c r="Q76" s="77"/>
      <c r="R76" s="77"/>
      <c r="S76" s="77"/>
      <c r="T76" s="77"/>
      <c r="U76" s="77"/>
      <c r="V76" s="77"/>
      <c r="W76" s="77"/>
      <c r="X76" s="77"/>
      <c r="Y76" s="44"/>
      <c r="Z76" s="44"/>
      <c r="AA76" s="44"/>
      <c r="AB76" s="45"/>
      <c r="AC76" s="45"/>
      <c r="AD76" s="45"/>
      <c r="AE76" s="45"/>
      <c r="AF76" s="45"/>
      <c r="AG76" s="45"/>
    </row>
    <row r="77" spans="4:33" ht="18" customHeight="1" x14ac:dyDescent="0.25">
      <c r="E77" s="77"/>
      <c r="F77" s="77"/>
      <c r="G77" s="77"/>
      <c r="H77" s="77"/>
      <c r="I77" s="77"/>
      <c r="J77" s="77"/>
      <c r="K77" s="77"/>
      <c r="L77" s="77"/>
      <c r="M77" s="77"/>
      <c r="N77" s="77"/>
      <c r="O77" s="77"/>
      <c r="P77" s="77"/>
      <c r="Q77" s="77"/>
      <c r="R77" s="77"/>
      <c r="S77" s="77"/>
      <c r="T77" s="77"/>
      <c r="U77" s="77"/>
      <c r="V77" s="77"/>
      <c r="W77" s="77"/>
      <c r="X77" s="77"/>
      <c r="Y77" s="42"/>
      <c r="Z77" s="42"/>
      <c r="AA77" s="42"/>
      <c r="AB77" s="16"/>
      <c r="AC77" s="16"/>
      <c r="AD77" s="16"/>
      <c r="AE77" s="16"/>
      <c r="AF77" s="16"/>
      <c r="AG77" s="16"/>
    </row>
    <row r="78" spans="4:33" ht="18" customHeight="1" x14ac:dyDescent="0.25">
      <c r="E78" s="77"/>
      <c r="F78" s="77"/>
      <c r="G78" s="77"/>
      <c r="H78" s="77"/>
      <c r="I78" s="77"/>
      <c r="J78" s="77"/>
      <c r="K78" s="77"/>
      <c r="L78" s="77"/>
      <c r="M78" s="77"/>
      <c r="N78" s="77"/>
      <c r="O78" s="77"/>
      <c r="P78" s="77"/>
      <c r="Q78" s="77"/>
      <c r="R78" s="77"/>
      <c r="S78" s="77"/>
      <c r="T78" s="77"/>
      <c r="U78" s="77"/>
      <c r="V78" s="77"/>
      <c r="W78" s="77"/>
      <c r="X78" s="77"/>
      <c r="Y78" s="46"/>
      <c r="Z78" s="46"/>
      <c r="AA78" s="46"/>
      <c r="AB78" s="16"/>
      <c r="AC78" s="16"/>
      <c r="AD78" s="16"/>
      <c r="AE78" s="16"/>
      <c r="AF78" s="16"/>
      <c r="AG78" s="16"/>
    </row>
    <row r="79" spans="4:33" ht="18" customHeight="1" x14ac:dyDescent="0.25">
      <c r="D79" s="16"/>
      <c r="E79" s="33"/>
      <c r="F79" s="33"/>
      <c r="G79" s="33"/>
      <c r="H79" s="33"/>
      <c r="I79" s="33"/>
      <c r="J79" s="33"/>
      <c r="K79" s="33"/>
      <c r="L79" s="33"/>
      <c r="M79" s="33"/>
      <c r="N79" s="33"/>
      <c r="O79" s="33"/>
      <c r="P79" s="33"/>
      <c r="Q79" s="33"/>
      <c r="R79" s="33"/>
      <c r="S79" s="33"/>
      <c r="T79" s="33"/>
      <c r="U79" s="33"/>
      <c r="V79" s="33"/>
      <c r="W79" s="33"/>
      <c r="X79" s="33"/>
      <c r="Y79" s="48"/>
      <c r="Z79" s="48"/>
      <c r="AA79" s="48"/>
      <c r="AB79" s="16"/>
      <c r="AC79" s="16"/>
      <c r="AD79" s="16"/>
      <c r="AE79" s="16"/>
      <c r="AF79" s="16"/>
      <c r="AG79" s="16"/>
    </row>
    <row r="80" spans="4:33" ht="18" customHeight="1" x14ac:dyDescent="0.25">
      <c r="D80" s="16"/>
      <c r="E80" s="34"/>
      <c r="F80" s="34"/>
      <c r="G80" s="34"/>
      <c r="H80" s="34"/>
      <c r="I80" s="34"/>
      <c r="J80" s="34"/>
      <c r="K80" s="34"/>
      <c r="L80" s="34"/>
      <c r="M80" s="34"/>
      <c r="N80" s="34"/>
      <c r="O80" s="34"/>
      <c r="P80" s="34"/>
      <c r="Q80" s="34"/>
      <c r="R80" s="34"/>
      <c r="S80" s="34"/>
      <c r="T80" s="34"/>
      <c r="U80" s="34"/>
      <c r="V80" s="34"/>
      <c r="W80" s="34"/>
      <c r="X80" s="34"/>
      <c r="Y80" s="50"/>
      <c r="Z80" s="50"/>
      <c r="AA80" s="50"/>
      <c r="AB80" s="16"/>
      <c r="AC80" s="16"/>
      <c r="AD80" s="16"/>
      <c r="AE80" s="16"/>
      <c r="AF80" s="16"/>
      <c r="AG80" s="16"/>
    </row>
    <row r="81" spans="4:33" ht="18" customHeight="1" x14ac:dyDescent="0.25">
      <c r="D81" s="51"/>
      <c r="E81" s="52"/>
      <c r="F81" s="52"/>
      <c r="G81" s="52"/>
      <c r="H81" s="52"/>
      <c r="I81" s="52"/>
      <c r="J81" s="52"/>
      <c r="K81" s="52"/>
      <c r="L81" s="52"/>
      <c r="M81" s="52"/>
      <c r="N81" s="52"/>
      <c r="O81" s="52"/>
      <c r="P81" s="52"/>
      <c r="Q81" s="52"/>
      <c r="R81" s="52"/>
      <c r="S81" s="52"/>
      <c r="T81" s="52"/>
      <c r="U81" s="52"/>
      <c r="V81" s="52"/>
      <c r="W81" s="52"/>
      <c r="X81" s="52"/>
      <c r="Y81" s="8"/>
      <c r="Z81" s="8"/>
      <c r="AA81" s="8"/>
      <c r="AB81" s="16"/>
      <c r="AC81" s="16"/>
      <c r="AD81" s="16"/>
      <c r="AE81" s="16"/>
      <c r="AF81" s="16"/>
      <c r="AG81" s="16"/>
    </row>
    <row r="82" spans="4:33" ht="18" customHeight="1" x14ac:dyDescent="0.25">
      <c r="D82" s="51"/>
      <c r="E82" s="52"/>
      <c r="F82" s="52"/>
      <c r="G82" s="52"/>
      <c r="H82" s="52"/>
      <c r="I82" s="52"/>
      <c r="J82" s="52"/>
      <c r="K82" s="52"/>
      <c r="L82" s="52"/>
      <c r="M82" s="52"/>
      <c r="N82" s="52"/>
      <c r="O82" s="52"/>
      <c r="P82" s="52"/>
      <c r="Q82" s="52"/>
      <c r="R82" s="52"/>
      <c r="S82" s="52"/>
      <c r="T82" s="52"/>
      <c r="U82" s="52"/>
      <c r="V82" s="52"/>
      <c r="W82" s="52"/>
      <c r="X82" s="52"/>
      <c r="Y82" s="53"/>
      <c r="Z82" s="53"/>
      <c r="AA82" s="53"/>
      <c r="AB82" s="16"/>
      <c r="AC82" s="16"/>
      <c r="AD82" s="16"/>
      <c r="AE82" s="16"/>
      <c r="AF82" s="16"/>
      <c r="AG82" s="16"/>
    </row>
    <row r="83" spans="4:33" ht="18" customHeight="1" x14ac:dyDescent="0.25">
      <c r="D83" s="51"/>
      <c r="E83" s="54"/>
      <c r="F83" s="54"/>
      <c r="G83" s="54"/>
      <c r="H83" s="54"/>
      <c r="I83" s="54"/>
      <c r="J83" s="54"/>
      <c r="K83" s="54"/>
      <c r="L83" s="54"/>
      <c r="M83" s="54"/>
      <c r="N83" s="54"/>
      <c r="O83" s="54"/>
      <c r="P83" s="54"/>
      <c r="Q83" s="54"/>
      <c r="R83" s="54"/>
      <c r="S83" s="54"/>
      <c r="T83" s="54"/>
      <c r="U83" s="54"/>
      <c r="V83" s="54"/>
      <c r="W83" s="54"/>
      <c r="X83" s="54"/>
      <c r="Y83" s="49"/>
      <c r="Z83" s="49"/>
      <c r="AA83" s="49"/>
      <c r="AB83" s="16"/>
      <c r="AC83" s="16"/>
      <c r="AD83" s="16"/>
      <c r="AE83" s="16"/>
      <c r="AF83" s="16"/>
      <c r="AG83" s="16"/>
    </row>
    <row r="84" spans="4:33" ht="18" customHeight="1" x14ac:dyDescent="0.25">
      <c r="D84" s="56"/>
      <c r="E84" s="57"/>
      <c r="F84" s="57"/>
      <c r="G84" s="57"/>
      <c r="H84" s="57"/>
      <c r="I84" s="57"/>
      <c r="J84" s="57"/>
      <c r="K84" s="57"/>
      <c r="L84" s="57"/>
      <c r="M84" s="57"/>
      <c r="N84" s="57"/>
      <c r="O84" s="57"/>
      <c r="P84" s="57"/>
      <c r="Q84" s="57"/>
      <c r="R84" s="57"/>
      <c r="S84" s="57"/>
      <c r="T84" s="57"/>
      <c r="U84" s="57"/>
      <c r="V84" s="57"/>
      <c r="W84" s="57"/>
      <c r="X84" s="57"/>
      <c r="Y84" s="59"/>
      <c r="Z84" s="59"/>
      <c r="AA84" s="59"/>
      <c r="AB84" s="16"/>
      <c r="AC84" s="16"/>
      <c r="AD84" s="16"/>
      <c r="AE84" s="16"/>
      <c r="AF84" s="16"/>
      <c r="AG84" s="16"/>
    </row>
    <row r="85" spans="4:33" ht="18" customHeight="1" x14ac:dyDescent="0.25">
      <c r="D85" s="60"/>
      <c r="E85" s="47"/>
      <c r="F85" s="47"/>
      <c r="G85" s="47"/>
      <c r="H85" s="47"/>
      <c r="I85" s="47"/>
      <c r="J85" s="47"/>
      <c r="K85" s="47"/>
      <c r="L85" s="47"/>
      <c r="M85" s="47"/>
      <c r="N85" s="47"/>
      <c r="O85" s="47"/>
      <c r="P85" s="47"/>
      <c r="Q85" s="47"/>
      <c r="R85" s="47"/>
      <c r="S85" s="47"/>
      <c r="T85" s="47"/>
      <c r="U85" s="47"/>
      <c r="V85" s="47"/>
      <c r="W85" s="47"/>
      <c r="X85" s="47"/>
      <c r="Y85" s="62"/>
      <c r="Z85" s="62"/>
      <c r="AA85" s="62"/>
      <c r="AB85" s="16"/>
      <c r="AC85" s="16"/>
      <c r="AD85" s="16"/>
      <c r="AE85" s="16"/>
      <c r="AF85" s="16"/>
      <c r="AG85" s="16"/>
    </row>
    <row r="86" spans="4:33" ht="18" customHeight="1" x14ac:dyDescent="0.25">
      <c r="D86" s="56"/>
      <c r="E86" s="57"/>
      <c r="F86" s="57"/>
      <c r="G86" s="57"/>
      <c r="H86" s="57"/>
      <c r="I86" s="57"/>
      <c r="J86" s="57"/>
      <c r="K86" s="57"/>
      <c r="L86" s="57"/>
      <c r="M86" s="57"/>
      <c r="N86" s="57"/>
      <c r="O86" s="57"/>
      <c r="P86" s="57"/>
      <c r="Q86" s="57"/>
      <c r="R86" s="57"/>
      <c r="S86" s="57"/>
      <c r="T86" s="57"/>
      <c r="U86" s="57"/>
      <c r="V86" s="57"/>
      <c r="W86" s="57"/>
      <c r="X86" s="57"/>
      <c r="Y86" s="46"/>
      <c r="Z86" s="46"/>
      <c r="AA86" s="46"/>
      <c r="AB86" s="16"/>
      <c r="AC86" s="16"/>
      <c r="AD86" s="16"/>
      <c r="AE86" s="16"/>
      <c r="AF86" s="16"/>
      <c r="AG86" s="16"/>
    </row>
    <row r="87" spans="4:33" ht="18" customHeight="1" x14ac:dyDescent="0.25">
      <c r="D87" s="60"/>
      <c r="E87" s="47"/>
      <c r="F87" s="47"/>
      <c r="G87" s="47"/>
      <c r="H87" s="47"/>
      <c r="I87" s="47"/>
      <c r="J87" s="47"/>
      <c r="K87" s="47"/>
      <c r="L87" s="47"/>
      <c r="M87" s="47"/>
      <c r="N87" s="47"/>
      <c r="O87" s="47"/>
      <c r="P87" s="47"/>
      <c r="Q87" s="47"/>
      <c r="R87" s="47"/>
      <c r="S87" s="47"/>
      <c r="T87" s="47"/>
      <c r="U87" s="47"/>
      <c r="V87" s="47"/>
      <c r="W87" s="47"/>
      <c r="X87" s="47"/>
      <c r="Y87" s="62"/>
      <c r="Z87" s="62"/>
      <c r="AA87" s="62"/>
      <c r="AB87" s="63"/>
      <c r="AC87" s="63"/>
      <c r="AD87" s="63"/>
      <c r="AE87" s="63"/>
      <c r="AF87" s="63"/>
      <c r="AG87" s="63"/>
    </row>
    <row r="88" spans="4:33" ht="18" customHeight="1" x14ac:dyDescent="0.25">
      <c r="D88" s="35"/>
      <c r="E88" s="57"/>
      <c r="F88" s="57"/>
      <c r="G88" s="57"/>
      <c r="H88" s="57"/>
      <c r="I88" s="57"/>
      <c r="J88" s="57"/>
      <c r="K88" s="57"/>
      <c r="L88" s="57"/>
      <c r="M88" s="57"/>
      <c r="N88" s="57"/>
      <c r="O88" s="57"/>
      <c r="P88" s="57"/>
      <c r="Q88" s="57"/>
      <c r="R88" s="57"/>
      <c r="S88" s="57"/>
      <c r="T88" s="57"/>
      <c r="U88" s="57"/>
      <c r="V88" s="57"/>
      <c r="W88" s="57"/>
      <c r="X88" s="57"/>
      <c r="Y88" s="46"/>
      <c r="Z88" s="46"/>
      <c r="AA88" s="46"/>
      <c r="AB88" s="63"/>
      <c r="AC88" s="63"/>
      <c r="AD88" s="63"/>
      <c r="AE88" s="63"/>
      <c r="AF88" s="63"/>
      <c r="AG88" s="63"/>
    </row>
    <row r="89" spans="4:33" ht="18" customHeight="1" x14ac:dyDescent="0.25">
      <c r="D89" s="60"/>
      <c r="E89" s="47"/>
      <c r="F89" s="47"/>
      <c r="G89" s="47"/>
      <c r="H89" s="47"/>
      <c r="I89" s="47"/>
      <c r="J89" s="47"/>
      <c r="K89" s="47"/>
      <c r="L89" s="47"/>
      <c r="M89" s="47"/>
      <c r="N89" s="47"/>
      <c r="O89" s="47"/>
      <c r="P89" s="47"/>
      <c r="Q89" s="47"/>
      <c r="R89" s="47"/>
      <c r="S89" s="47"/>
      <c r="T89" s="47"/>
      <c r="U89" s="47"/>
      <c r="V89" s="47"/>
      <c r="W89" s="47"/>
      <c r="X89" s="47"/>
      <c r="Y89" s="49"/>
      <c r="Z89" s="49"/>
      <c r="AA89" s="49"/>
      <c r="AB89" s="16"/>
      <c r="AC89" s="16"/>
      <c r="AD89" s="16"/>
      <c r="AE89" s="16"/>
      <c r="AF89" s="16"/>
      <c r="AG89" s="16"/>
    </row>
    <row r="90" spans="4:33" ht="18" customHeight="1" x14ac:dyDescent="0.25">
      <c r="D90" s="56"/>
      <c r="E90" s="57"/>
      <c r="F90" s="57"/>
      <c r="G90" s="57"/>
      <c r="H90" s="57"/>
      <c r="I90" s="57"/>
      <c r="J90" s="57"/>
      <c r="K90" s="57"/>
      <c r="L90" s="57"/>
      <c r="M90" s="57"/>
      <c r="N90" s="57"/>
      <c r="O90" s="57"/>
      <c r="P90" s="57"/>
      <c r="Q90" s="57"/>
      <c r="R90" s="57"/>
      <c r="S90" s="57"/>
      <c r="T90" s="57"/>
      <c r="U90" s="57"/>
      <c r="V90" s="57"/>
      <c r="W90" s="57"/>
      <c r="X90" s="57"/>
      <c r="Y90" s="49"/>
      <c r="Z90" s="49"/>
      <c r="AA90" s="49"/>
      <c r="AB90" s="16"/>
      <c r="AC90" s="16"/>
      <c r="AD90" s="16"/>
      <c r="AE90" s="16"/>
      <c r="AF90" s="16"/>
      <c r="AG90" s="16"/>
    </row>
    <row r="91" spans="4:33" ht="18" customHeight="1" x14ac:dyDescent="0.25">
      <c r="D91" s="60"/>
      <c r="E91" s="47"/>
      <c r="F91" s="47"/>
      <c r="G91" s="47"/>
      <c r="H91" s="47"/>
      <c r="I91" s="47"/>
      <c r="J91" s="47"/>
      <c r="K91" s="47"/>
      <c r="L91" s="47"/>
      <c r="M91" s="47"/>
      <c r="N91" s="47"/>
      <c r="O91" s="47"/>
      <c r="P91" s="47"/>
      <c r="Q91" s="47"/>
      <c r="R91" s="47"/>
      <c r="S91" s="47"/>
      <c r="T91" s="47"/>
      <c r="U91" s="47"/>
      <c r="V91" s="47"/>
      <c r="W91" s="47"/>
      <c r="X91" s="47"/>
      <c r="Y91" s="49"/>
      <c r="Z91" s="49"/>
      <c r="AA91" s="49"/>
      <c r="AB91" s="16"/>
      <c r="AC91" s="16"/>
      <c r="AD91" s="16"/>
      <c r="AE91" s="16"/>
      <c r="AF91" s="16"/>
      <c r="AG91" s="16"/>
    </row>
    <row r="92" spans="4:33" ht="18" customHeight="1" x14ac:dyDescent="0.25">
      <c r="D92" s="56"/>
      <c r="E92" s="57"/>
      <c r="F92" s="57"/>
      <c r="G92" s="57"/>
      <c r="H92" s="57"/>
      <c r="I92" s="57"/>
      <c r="J92" s="57"/>
      <c r="K92" s="57"/>
      <c r="L92" s="57"/>
      <c r="M92" s="57"/>
      <c r="N92" s="57"/>
      <c r="O92" s="57"/>
      <c r="P92" s="57"/>
      <c r="Q92" s="57"/>
      <c r="R92" s="57"/>
      <c r="S92" s="57"/>
      <c r="T92" s="57"/>
      <c r="U92" s="57"/>
      <c r="V92" s="57"/>
      <c r="W92" s="57"/>
      <c r="X92" s="57"/>
      <c r="Y92" s="49"/>
      <c r="Z92" s="49"/>
      <c r="AA92" s="49"/>
      <c r="AB92" s="16"/>
      <c r="AC92" s="16"/>
      <c r="AD92" s="16"/>
      <c r="AE92" s="16"/>
      <c r="AF92" s="16"/>
      <c r="AG92" s="16"/>
    </row>
    <row r="93" spans="4:33" ht="18" customHeight="1" x14ac:dyDescent="0.25">
      <c r="D93" s="60"/>
      <c r="E93" s="47"/>
      <c r="F93" s="47"/>
      <c r="G93" s="47"/>
      <c r="H93" s="47"/>
      <c r="I93" s="47"/>
      <c r="J93" s="47"/>
      <c r="K93" s="47"/>
      <c r="L93" s="47"/>
      <c r="M93" s="47"/>
      <c r="N93" s="47"/>
      <c r="O93" s="47"/>
      <c r="P93" s="47"/>
      <c r="Q93" s="47"/>
      <c r="R93" s="47"/>
      <c r="S93" s="47"/>
      <c r="T93" s="47"/>
      <c r="U93" s="47"/>
      <c r="V93" s="47"/>
      <c r="W93" s="47"/>
      <c r="X93" s="47"/>
      <c r="Y93" s="49"/>
      <c r="Z93" s="49"/>
      <c r="AA93" s="49"/>
      <c r="AB93" s="16"/>
      <c r="AC93" s="16"/>
      <c r="AD93" s="16"/>
      <c r="AE93" s="16"/>
      <c r="AF93" s="16"/>
      <c r="AG93" s="16"/>
    </row>
    <row r="94" spans="4:33" ht="18" customHeight="1" x14ac:dyDescent="0.25">
      <c r="D94" s="65"/>
      <c r="E94" s="57"/>
      <c r="F94" s="57"/>
      <c r="G94" s="57"/>
      <c r="H94" s="57"/>
      <c r="I94" s="57"/>
      <c r="J94" s="57"/>
      <c r="K94" s="57"/>
      <c r="L94" s="57"/>
      <c r="M94" s="57"/>
      <c r="N94" s="57"/>
      <c r="O94" s="57"/>
      <c r="P94" s="57"/>
      <c r="Q94" s="57"/>
      <c r="R94" s="57"/>
      <c r="S94" s="57"/>
      <c r="T94" s="57"/>
      <c r="U94" s="57"/>
      <c r="V94" s="57"/>
      <c r="W94" s="57"/>
      <c r="X94" s="57"/>
      <c r="Y94" s="49"/>
      <c r="Z94" s="49"/>
      <c r="AA94" s="49"/>
      <c r="AB94" s="16"/>
      <c r="AC94" s="16"/>
      <c r="AD94" s="16"/>
      <c r="AE94" s="16"/>
      <c r="AF94" s="16"/>
      <c r="AG94" s="16"/>
    </row>
    <row r="95" spans="4:33" ht="18" customHeight="1" x14ac:dyDescent="0.25">
      <c r="D95" s="60"/>
      <c r="E95" s="47"/>
      <c r="F95" s="47"/>
      <c r="G95" s="47"/>
      <c r="H95" s="47"/>
      <c r="I95" s="47"/>
      <c r="J95" s="47"/>
      <c r="K95" s="47"/>
      <c r="L95" s="47"/>
      <c r="M95" s="47"/>
      <c r="N95" s="47"/>
      <c r="O95" s="47"/>
      <c r="P95" s="47"/>
      <c r="Q95" s="47"/>
      <c r="R95" s="47"/>
      <c r="S95" s="47"/>
      <c r="T95" s="47"/>
      <c r="U95" s="47"/>
      <c r="V95" s="47"/>
      <c r="W95" s="47"/>
      <c r="X95" s="47"/>
      <c r="Y95" s="49"/>
      <c r="Z95" s="49"/>
      <c r="AA95" s="49"/>
      <c r="AB95" s="16"/>
      <c r="AC95" s="16"/>
      <c r="AD95" s="16"/>
      <c r="AE95" s="16"/>
      <c r="AF95" s="16"/>
      <c r="AG95" s="16"/>
    </row>
    <row r="96" spans="4:33" ht="18" customHeight="1" x14ac:dyDescent="0.25">
      <c r="D96" s="56"/>
      <c r="E96" s="34"/>
      <c r="F96" s="34"/>
      <c r="G96" s="34"/>
      <c r="H96" s="34"/>
      <c r="I96" s="34"/>
      <c r="J96" s="34"/>
      <c r="K96" s="34"/>
      <c r="L96" s="34"/>
      <c r="M96" s="34"/>
      <c r="N96" s="34"/>
      <c r="O96" s="34"/>
      <c r="P96" s="34"/>
      <c r="Q96" s="34"/>
      <c r="R96" s="34"/>
      <c r="S96" s="34"/>
      <c r="T96" s="34"/>
      <c r="U96" s="34"/>
      <c r="V96" s="34"/>
      <c r="W96" s="34"/>
      <c r="X96" s="34"/>
      <c r="Y96" s="49"/>
      <c r="Z96" s="49"/>
      <c r="AA96" s="49"/>
      <c r="AB96" s="16"/>
      <c r="AC96" s="16"/>
      <c r="AD96" s="16"/>
      <c r="AE96" s="16"/>
      <c r="AF96" s="16"/>
      <c r="AG96" s="16"/>
    </row>
    <row r="97" spans="4:33" ht="18" customHeight="1" x14ac:dyDescent="0.25">
      <c r="D97" s="60"/>
      <c r="E97" s="40"/>
      <c r="F97" s="40"/>
      <c r="G97" s="40"/>
      <c r="H97" s="40"/>
      <c r="I97" s="40"/>
      <c r="J97" s="40"/>
      <c r="K97" s="40"/>
      <c r="L97" s="40"/>
      <c r="M97" s="40"/>
      <c r="N97" s="40"/>
      <c r="O97" s="40"/>
      <c r="P97" s="40"/>
      <c r="Q97" s="40"/>
      <c r="R97" s="40"/>
      <c r="S97" s="40"/>
      <c r="T97" s="40"/>
      <c r="U97" s="40"/>
      <c r="V97" s="40"/>
      <c r="W97" s="40"/>
      <c r="X97" s="40"/>
      <c r="Y97" s="49"/>
      <c r="Z97" s="49"/>
      <c r="AA97" s="49"/>
      <c r="AB97" s="16"/>
      <c r="AC97" s="16"/>
      <c r="AD97" s="16"/>
      <c r="AE97" s="16"/>
      <c r="AF97" s="16"/>
      <c r="AG97" s="16"/>
    </row>
    <row r="98" spans="4:33" ht="18" customHeight="1" x14ac:dyDescent="0.25">
      <c r="D98" s="56"/>
      <c r="E98" s="43"/>
      <c r="F98" s="43"/>
      <c r="G98" s="43"/>
      <c r="H98" s="43"/>
      <c r="I98" s="43"/>
      <c r="J98" s="43"/>
      <c r="K98" s="43"/>
      <c r="L98" s="43"/>
      <c r="M98" s="43"/>
      <c r="N98" s="43"/>
      <c r="O98" s="43"/>
      <c r="P98" s="43"/>
      <c r="Q98" s="43"/>
      <c r="R98" s="43"/>
      <c r="S98" s="43"/>
      <c r="T98" s="43"/>
      <c r="U98" s="43"/>
      <c r="V98" s="43"/>
      <c r="W98" s="43"/>
      <c r="X98" s="43"/>
      <c r="Y98" s="68"/>
      <c r="Z98" s="68"/>
      <c r="AA98" s="68"/>
      <c r="AB98" s="16"/>
      <c r="AC98" s="16"/>
      <c r="AD98" s="16"/>
      <c r="AE98" s="16"/>
      <c r="AF98" s="16"/>
      <c r="AG98" s="16"/>
    </row>
    <row r="99" spans="4:33" ht="18" customHeight="1" x14ac:dyDescent="0.25">
      <c r="D99" s="60"/>
      <c r="E99" s="41"/>
      <c r="F99" s="41"/>
      <c r="G99" s="41"/>
      <c r="H99" s="41"/>
      <c r="I99" s="41"/>
      <c r="J99" s="41"/>
      <c r="K99" s="41"/>
      <c r="L99" s="41"/>
      <c r="M99" s="41"/>
      <c r="N99" s="41"/>
      <c r="O99" s="41"/>
      <c r="P99" s="41"/>
      <c r="Q99" s="41"/>
      <c r="R99" s="41"/>
      <c r="S99" s="41"/>
      <c r="T99" s="41"/>
      <c r="U99" s="41"/>
      <c r="V99" s="41"/>
      <c r="W99" s="41"/>
      <c r="X99" s="41"/>
      <c r="Y99" s="49"/>
      <c r="Z99" s="49"/>
      <c r="AA99" s="49"/>
      <c r="AB99" s="16"/>
      <c r="AC99" s="16"/>
      <c r="AD99" s="16"/>
      <c r="AE99" s="16"/>
      <c r="AF99" s="16"/>
      <c r="AG99" s="16"/>
    </row>
    <row r="100" spans="4:33" ht="18" customHeight="1" x14ac:dyDescent="0.25">
      <c r="D100" s="60"/>
      <c r="E100" s="34"/>
      <c r="F100" s="34"/>
      <c r="G100" s="34"/>
      <c r="H100" s="34"/>
      <c r="I100" s="34"/>
      <c r="J100" s="34"/>
      <c r="K100" s="34"/>
      <c r="L100" s="34"/>
      <c r="M100" s="34"/>
      <c r="N100" s="34"/>
      <c r="O100" s="34"/>
      <c r="P100" s="34"/>
      <c r="Q100" s="34"/>
      <c r="R100" s="34"/>
      <c r="S100" s="34"/>
      <c r="T100" s="34"/>
      <c r="U100" s="34"/>
      <c r="V100" s="34"/>
      <c r="W100" s="34"/>
      <c r="X100" s="34"/>
      <c r="Y100" s="49"/>
      <c r="Z100" s="49"/>
      <c r="AA100" s="49"/>
      <c r="AB100" s="16"/>
      <c r="AC100" s="16"/>
      <c r="AD100" s="16"/>
      <c r="AE100" s="16"/>
      <c r="AF100" s="16"/>
      <c r="AG100" s="16"/>
    </row>
    <row r="101" spans="4:33" ht="18" customHeight="1" x14ac:dyDescent="0.25">
      <c r="D101" s="70"/>
      <c r="E101" s="40"/>
      <c r="F101" s="40"/>
      <c r="G101" s="40"/>
      <c r="H101" s="40"/>
      <c r="I101" s="40"/>
      <c r="J101" s="40"/>
      <c r="K101" s="40"/>
      <c r="L101" s="40"/>
      <c r="M101" s="40"/>
      <c r="N101" s="40"/>
      <c r="O101" s="40"/>
      <c r="P101" s="40"/>
      <c r="Q101" s="40"/>
      <c r="R101" s="40"/>
      <c r="S101" s="40"/>
      <c r="T101" s="40"/>
      <c r="U101" s="40"/>
      <c r="V101" s="40"/>
      <c r="W101" s="40"/>
      <c r="X101" s="40"/>
      <c r="Y101" s="49"/>
      <c r="Z101" s="49"/>
      <c r="AA101" s="49"/>
      <c r="AB101" s="16"/>
      <c r="AC101" s="16"/>
      <c r="AD101" s="16"/>
      <c r="AE101" s="16"/>
      <c r="AF101" s="16"/>
      <c r="AG101" s="16"/>
    </row>
    <row r="102" spans="4:33" ht="18" customHeight="1" x14ac:dyDescent="0.25">
      <c r="D102" s="56"/>
      <c r="E102" s="34"/>
      <c r="F102" s="34"/>
      <c r="G102" s="34"/>
      <c r="H102" s="34"/>
      <c r="I102" s="34"/>
      <c r="J102" s="34"/>
      <c r="K102" s="34"/>
      <c r="L102" s="34"/>
      <c r="M102" s="34"/>
      <c r="N102" s="34"/>
      <c r="O102" s="34"/>
      <c r="P102" s="34"/>
      <c r="Q102" s="34"/>
      <c r="R102" s="34"/>
      <c r="S102" s="34"/>
      <c r="T102" s="34"/>
      <c r="U102" s="34"/>
      <c r="V102" s="34"/>
      <c r="W102" s="34"/>
      <c r="X102" s="34"/>
      <c r="Y102" s="16"/>
      <c r="Z102" s="16"/>
      <c r="AA102" s="16"/>
      <c r="AB102" s="16"/>
      <c r="AC102" s="16"/>
      <c r="AD102" s="16"/>
      <c r="AE102" s="16"/>
      <c r="AF102" s="16"/>
      <c r="AG102" s="16"/>
    </row>
    <row r="103" spans="4:33" ht="18" customHeight="1" x14ac:dyDescent="0.25">
      <c r="D103" s="56"/>
      <c r="E103" s="71"/>
      <c r="F103" s="71"/>
      <c r="G103" s="71"/>
      <c r="H103" s="71"/>
      <c r="I103" s="71"/>
      <c r="J103" s="71"/>
      <c r="K103" s="71"/>
      <c r="L103" s="71"/>
      <c r="M103" s="71"/>
      <c r="N103" s="71"/>
      <c r="O103" s="71"/>
      <c r="P103" s="71"/>
      <c r="Q103" s="71"/>
      <c r="R103" s="71"/>
      <c r="S103" s="71"/>
      <c r="T103" s="71"/>
      <c r="U103" s="71"/>
      <c r="V103" s="71"/>
      <c r="W103" s="71"/>
      <c r="X103" s="71"/>
      <c r="Y103" s="73"/>
      <c r="Z103" s="73"/>
      <c r="AA103" s="73"/>
      <c r="AB103" s="16"/>
      <c r="AC103" s="16"/>
      <c r="AD103" s="16"/>
      <c r="AE103" s="16"/>
      <c r="AF103" s="16"/>
      <c r="AG103" s="16"/>
    </row>
    <row r="104" spans="4:33" ht="18" customHeight="1" x14ac:dyDescent="0.25">
      <c r="D104" s="56"/>
      <c r="E104" s="34"/>
      <c r="F104" s="34"/>
      <c r="G104" s="34"/>
      <c r="H104" s="34"/>
      <c r="I104" s="34"/>
      <c r="J104" s="34"/>
      <c r="K104" s="34"/>
      <c r="L104" s="34"/>
      <c r="M104" s="34"/>
      <c r="N104" s="34"/>
      <c r="O104" s="34"/>
      <c r="P104" s="34"/>
      <c r="Q104" s="34"/>
      <c r="R104" s="34"/>
      <c r="S104" s="34"/>
      <c r="T104" s="34"/>
      <c r="U104" s="34"/>
      <c r="V104" s="34"/>
      <c r="W104" s="34"/>
      <c r="X104" s="34"/>
      <c r="Y104" s="16"/>
      <c r="Z104" s="16"/>
      <c r="AA104" s="16"/>
      <c r="AB104" s="16"/>
      <c r="AC104" s="16"/>
      <c r="AD104" s="16"/>
      <c r="AE104" s="16"/>
      <c r="AF104" s="16"/>
      <c r="AG104" s="16"/>
    </row>
    <row r="105" spans="4:33" ht="18" customHeight="1" x14ac:dyDescent="0.25">
      <c r="D105" s="30"/>
      <c r="E105" s="74"/>
      <c r="F105" s="74"/>
      <c r="G105" s="74"/>
      <c r="H105" s="74"/>
      <c r="I105" s="74"/>
      <c r="J105" s="74"/>
      <c r="K105" s="74"/>
      <c r="L105" s="74"/>
      <c r="M105" s="74"/>
      <c r="N105" s="74"/>
      <c r="O105" s="74"/>
      <c r="P105" s="74"/>
      <c r="Q105" s="74"/>
      <c r="R105" s="74"/>
      <c r="S105" s="74"/>
      <c r="T105" s="74"/>
      <c r="U105" s="74"/>
      <c r="V105" s="74"/>
      <c r="W105" s="74"/>
      <c r="X105" s="74"/>
      <c r="Y105" s="16"/>
      <c r="Z105" s="16"/>
      <c r="AA105" s="16"/>
      <c r="AB105" s="16"/>
      <c r="AC105" s="16"/>
      <c r="AD105" s="16"/>
      <c r="AE105" s="16"/>
      <c r="AF105" s="16"/>
      <c r="AG105" s="16"/>
    </row>
    <row r="106" spans="4:33" ht="18" customHeight="1" x14ac:dyDescent="0.25">
      <c r="Y106" s="16"/>
      <c r="Z106" s="16"/>
      <c r="AA106" s="16"/>
      <c r="AB106" s="16"/>
      <c r="AC106" s="16"/>
      <c r="AD106" s="16"/>
      <c r="AE106" s="16"/>
      <c r="AF106" s="16"/>
      <c r="AG106" s="16"/>
    </row>
    <row r="107" spans="4:33" ht="18" customHeight="1" x14ac:dyDescent="0.25">
      <c r="Y107" s="16"/>
      <c r="Z107" s="16"/>
      <c r="AA107" s="16"/>
      <c r="AB107" s="16"/>
      <c r="AC107" s="16"/>
      <c r="AD107" s="16"/>
      <c r="AE107" s="16"/>
      <c r="AF107" s="16"/>
      <c r="AG107" s="16"/>
    </row>
    <row r="108" spans="4:33" ht="18" customHeight="1" x14ac:dyDescent="0.25">
      <c r="Y108" s="16"/>
      <c r="Z108" s="16"/>
      <c r="AA108" s="16"/>
      <c r="AB108" s="16"/>
      <c r="AC108" s="16"/>
      <c r="AD108" s="16"/>
      <c r="AE108" s="16"/>
      <c r="AF108" s="16"/>
      <c r="AG108" s="16"/>
    </row>
    <row r="109" spans="4:33" ht="18" customHeight="1" x14ac:dyDescent="0.25">
      <c r="Y109" s="30"/>
      <c r="Z109" s="30"/>
      <c r="AA109" s="30"/>
      <c r="AB109" s="16"/>
      <c r="AC109" s="16"/>
      <c r="AD109" s="16"/>
      <c r="AE109" s="16"/>
      <c r="AF109" s="16"/>
      <c r="AG109" s="16"/>
    </row>
    <row r="110" spans="4:33" ht="18" customHeight="1" x14ac:dyDescent="0.25">
      <c r="Y110" s="30"/>
      <c r="Z110" s="30"/>
      <c r="AA110" s="30"/>
      <c r="AB110" s="16"/>
      <c r="AC110" s="16"/>
      <c r="AD110" s="16"/>
      <c r="AE110" s="16"/>
      <c r="AF110" s="16"/>
      <c r="AG110" s="16"/>
    </row>
    <row r="111" spans="4:33" ht="18" customHeight="1" x14ac:dyDescent="0.25">
      <c r="Y111" s="30"/>
      <c r="Z111" s="30"/>
      <c r="AA111" s="30"/>
      <c r="AB111" s="16"/>
      <c r="AC111" s="16"/>
      <c r="AD111" s="16"/>
      <c r="AE111" s="16"/>
      <c r="AF111" s="16"/>
      <c r="AG111" s="16"/>
    </row>
    <row r="112" spans="4:33" ht="18" customHeight="1" x14ac:dyDescent="0.25">
      <c r="Y112" s="30"/>
      <c r="Z112" s="30"/>
      <c r="AA112" s="30"/>
      <c r="AB112" s="16"/>
      <c r="AC112" s="16"/>
      <c r="AD112" s="16"/>
      <c r="AE112" s="16"/>
      <c r="AF112" s="16"/>
      <c r="AG112" s="16"/>
    </row>
    <row r="113" spans="25:33" ht="18" customHeight="1" x14ac:dyDescent="0.25">
      <c r="Y113" s="30"/>
      <c r="Z113" s="30"/>
      <c r="AA113" s="30"/>
      <c r="AB113" s="16"/>
      <c r="AC113" s="16"/>
      <c r="AD113" s="16"/>
      <c r="AE113" s="16"/>
      <c r="AF113" s="16"/>
      <c r="AG113" s="16"/>
    </row>
    <row r="114" spans="25:33" ht="18" customHeight="1" x14ac:dyDescent="0.25">
      <c r="Y114" s="30"/>
      <c r="Z114" s="30"/>
      <c r="AA114" s="30"/>
      <c r="AB114" s="16"/>
      <c r="AC114" s="16"/>
      <c r="AD114" s="16"/>
      <c r="AE114" s="16"/>
      <c r="AF114" s="16"/>
      <c r="AG114" s="16"/>
    </row>
    <row r="115" spans="25:33" ht="18" customHeight="1" x14ac:dyDescent="0.25">
      <c r="Y115" s="76"/>
      <c r="Z115" s="76"/>
      <c r="AA115" s="76"/>
    </row>
    <row r="116" spans="25:33" ht="18" customHeight="1" x14ac:dyDescent="0.25">
      <c r="Y116" s="76"/>
      <c r="Z116" s="76"/>
      <c r="AA116" s="76"/>
    </row>
    <row r="117" spans="25:33" ht="18" customHeight="1" x14ac:dyDescent="0.25">
      <c r="Y117" s="76"/>
      <c r="Z117" s="76"/>
      <c r="AA117" s="76"/>
    </row>
    <row r="118" spans="25:33" ht="18" customHeight="1" x14ac:dyDescent="0.25">
      <c r="Y118" s="76"/>
      <c r="Z118" s="76"/>
      <c r="AA118" s="76"/>
    </row>
    <row r="123" spans="25:33" ht="18" customHeight="1" x14ac:dyDescent="0.25">
      <c r="AB123" s="16"/>
      <c r="AC123" s="16"/>
      <c r="AD123" s="16"/>
      <c r="AE123" s="16"/>
      <c r="AF123" s="16"/>
      <c r="AG123" s="16"/>
    </row>
    <row r="127" spans="25:33" ht="18" customHeight="1" x14ac:dyDescent="0.25">
      <c r="Y127" s="16"/>
      <c r="Z127" s="16"/>
      <c r="AA127" s="16"/>
    </row>
    <row r="128" spans="25:33" ht="18" customHeight="1" x14ac:dyDescent="0.25">
      <c r="Y128" s="27"/>
      <c r="Z128" s="27"/>
      <c r="AA128" s="27"/>
    </row>
    <row r="129" spans="25:27" ht="18" customHeight="1" x14ac:dyDescent="0.25">
      <c r="Y129" s="27"/>
      <c r="Z129" s="27"/>
      <c r="AA129" s="27"/>
    </row>
    <row r="130" spans="25:27" ht="18" customHeight="1" x14ac:dyDescent="0.25">
      <c r="Y130" s="27"/>
      <c r="Z130" s="27"/>
      <c r="AA130" s="27"/>
    </row>
    <row r="131" spans="25:27" ht="18" customHeight="1" x14ac:dyDescent="0.25">
      <c r="Y131" s="27"/>
      <c r="Z131" s="27"/>
      <c r="AA131" s="27"/>
    </row>
    <row r="132" spans="25:27" ht="18" customHeight="1" x14ac:dyDescent="0.25">
      <c r="Y132" s="27"/>
      <c r="Z132" s="27"/>
      <c r="AA132" s="27"/>
    </row>
    <row r="133" spans="25:27" ht="18" customHeight="1" x14ac:dyDescent="0.25">
      <c r="Y133" s="27"/>
      <c r="Z133" s="27"/>
      <c r="AA133" s="27"/>
    </row>
    <row r="134" spans="25:27" ht="18" customHeight="1" x14ac:dyDescent="0.25">
      <c r="Y134" s="27"/>
      <c r="Z134" s="27"/>
      <c r="AA134" s="27"/>
    </row>
    <row r="135" spans="25:27" ht="18" customHeight="1" x14ac:dyDescent="0.25">
      <c r="Y135" s="27"/>
      <c r="Z135" s="27"/>
      <c r="AA135" s="27"/>
    </row>
    <row r="136" spans="25:27" ht="18" customHeight="1" x14ac:dyDescent="0.25">
      <c r="Y136" s="27"/>
      <c r="Z136" s="27"/>
      <c r="AA136" s="27"/>
    </row>
    <row r="137" spans="25:27" ht="18" customHeight="1" x14ac:dyDescent="0.25">
      <c r="Y137" s="27"/>
      <c r="Z137" s="27"/>
      <c r="AA137" s="27"/>
    </row>
    <row r="138" spans="25:27" ht="18" customHeight="1" x14ac:dyDescent="0.25">
      <c r="Y138" s="75"/>
      <c r="Z138" s="75"/>
      <c r="AA138" s="75"/>
    </row>
    <row r="139" spans="25:27" ht="18" customHeight="1" x14ac:dyDescent="0.25">
      <c r="Y139" s="75"/>
      <c r="Z139" s="75"/>
      <c r="AA139" s="75"/>
    </row>
  </sheetData>
  <sheetProtection selectLockedCells="1" selectUnlockedCells="1"/>
  <mergeCells count="16">
    <mergeCell ref="C13:C15"/>
    <mergeCell ref="B4:C4"/>
    <mergeCell ref="B10:C10"/>
    <mergeCell ref="V5:W5"/>
    <mergeCell ref="B20:C20"/>
    <mergeCell ref="B11:B12"/>
    <mergeCell ref="C11:C12"/>
    <mergeCell ref="B17:B18"/>
    <mergeCell ref="B13:B15"/>
    <mergeCell ref="AE5:AG5"/>
    <mergeCell ref="E4:AG4"/>
    <mergeCell ref="F5:I5"/>
    <mergeCell ref="J5:M5"/>
    <mergeCell ref="R5:U5"/>
    <mergeCell ref="X5:AC5"/>
    <mergeCell ref="N5:Q5"/>
  </mergeCells>
  <dataValidations count="1">
    <dataValidation type="list" allowBlank="1" showInputMessage="1" showErrorMessage="1" sqref="C29" xr:uid="{BE95D27E-0D96-49FB-83D1-4608C1DA7944}">
      <formula1>"Boil-Off Recovery Equipped, No Boil-Off Recovery"</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18" r:id="rId4" name="PE_GridE">
          <controlPr defaultSize="0" autoLine="0" autoPict="0" r:id="rId5">
            <anchor moveWithCells="1" sizeWithCells="1">
              <from>
                <xdr:col>2</xdr:col>
                <xdr:colOff>95250</xdr:colOff>
                <xdr:row>12</xdr:row>
                <xdr:rowOff>228600</xdr:rowOff>
              </from>
              <to>
                <xdr:col>2</xdr:col>
                <xdr:colOff>1371600</xdr:colOff>
                <xdr:row>13</xdr:row>
                <xdr:rowOff>228600</xdr:rowOff>
              </to>
            </anchor>
          </controlPr>
        </control>
      </mc:Choice>
      <mc:Fallback>
        <control shapeId="3118" r:id="rId4" name="PE_GridE"/>
      </mc:Fallback>
    </mc:AlternateContent>
    <mc:AlternateContent xmlns:mc="http://schemas.openxmlformats.org/markup-compatibility/2006">
      <mc:Choice Requires="x14">
        <control shapeId="3119" r:id="rId6" name="PE_LPG">
          <controlPr defaultSize="0" autoLine="0" r:id="rId7">
            <anchor moveWithCells="1" sizeWithCells="1">
              <from>
                <xdr:col>2</xdr:col>
                <xdr:colOff>1895475</xdr:colOff>
                <xdr:row>12</xdr:row>
                <xdr:rowOff>9525</xdr:rowOff>
              </from>
              <to>
                <xdr:col>3</xdr:col>
                <xdr:colOff>9525</xdr:colOff>
                <xdr:row>13</xdr:row>
                <xdr:rowOff>9525</xdr:rowOff>
              </to>
            </anchor>
          </controlPr>
        </control>
      </mc:Choice>
      <mc:Fallback>
        <control shapeId="3119" r:id="rId6" name="PE_LPG"/>
      </mc:Fallback>
    </mc:AlternateContent>
    <mc:AlternateContent xmlns:mc="http://schemas.openxmlformats.org/markup-compatibility/2006">
      <mc:Choice Requires="x14">
        <control shapeId="3120" r:id="rId8" name="PE_NG">
          <controlPr defaultSize="0" autoLine="0" autoPict="0" r:id="rId9">
            <anchor moveWithCells="1" sizeWithCells="1">
              <from>
                <xdr:col>2</xdr:col>
                <xdr:colOff>95250</xdr:colOff>
                <xdr:row>12</xdr:row>
                <xdr:rowOff>0</xdr:rowOff>
              </from>
              <to>
                <xdr:col>2</xdr:col>
                <xdr:colOff>1419225</xdr:colOff>
                <xdr:row>13</xdr:row>
                <xdr:rowOff>0</xdr:rowOff>
              </to>
            </anchor>
          </controlPr>
        </control>
      </mc:Choice>
      <mc:Fallback>
        <control shapeId="3120" r:id="rId8" name="PE_NG"/>
      </mc:Fallback>
    </mc:AlternateContent>
    <mc:AlternateContent xmlns:mc="http://schemas.openxmlformats.org/markup-compatibility/2006">
      <mc:Choice Requires="x14">
        <control shapeId="3121" r:id="rId10" name="PE_Diesel">
          <controlPr defaultSize="0" autoLine="0" autoPict="0" r:id="rId11">
            <anchor moveWithCells="1" sizeWithCells="1">
              <from>
                <xdr:col>2</xdr:col>
                <xdr:colOff>1895475</xdr:colOff>
                <xdr:row>13</xdr:row>
                <xdr:rowOff>19050</xdr:rowOff>
              </from>
              <to>
                <xdr:col>2</xdr:col>
                <xdr:colOff>3143250</xdr:colOff>
                <xdr:row>14</xdr:row>
                <xdr:rowOff>19050</xdr:rowOff>
              </to>
            </anchor>
          </controlPr>
        </control>
      </mc:Choice>
      <mc:Fallback>
        <control shapeId="3121" r:id="rId10" name="PE_Diesel"/>
      </mc:Fallback>
    </mc:AlternateContent>
    <mc:AlternateContent xmlns:mc="http://schemas.openxmlformats.org/markup-compatibility/2006">
      <mc:Choice Requires="x14">
        <control shapeId="3136" r:id="rId12" name="Blending_NG">
          <controlPr defaultSize="0" autoLine="0" autoPict="0" r:id="rId13">
            <anchor moveWithCells="1" sizeWithCells="1">
              <from>
                <xdr:col>2</xdr:col>
                <xdr:colOff>95250</xdr:colOff>
                <xdr:row>15</xdr:row>
                <xdr:rowOff>9525</xdr:rowOff>
              </from>
              <to>
                <xdr:col>2</xdr:col>
                <xdr:colOff>1409700</xdr:colOff>
                <xdr:row>16</xdr:row>
                <xdr:rowOff>9525</xdr:rowOff>
              </to>
            </anchor>
          </controlPr>
        </control>
      </mc:Choice>
      <mc:Fallback>
        <control shapeId="3136" r:id="rId12" name="Blending_NG"/>
      </mc:Fallback>
    </mc:AlternateContent>
    <mc:AlternateContent xmlns:mc="http://schemas.openxmlformats.org/markup-compatibility/2006">
      <mc:Choice Requires="x14">
        <control shapeId="3137" r:id="rId14" name="Blending_Propane">
          <controlPr defaultSize="0" autoLine="0" r:id="rId15">
            <anchor moveWithCells="1" sizeWithCells="1">
              <from>
                <xdr:col>2</xdr:col>
                <xdr:colOff>1895475</xdr:colOff>
                <xdr:row>15</xdr:row>
                <xdr:rowOff>9525</xdr:rowOff>
              </from>
              <to>
                <xdr:col>2</xdr:col>
                <xdr:colOff>3152775</xdr:colOff>
                <xdr:row>16</xdr:row>
                <xdr:rowOff>9525</xdr:rowOff>
              </to>
            </anchor>
          </controlPr>
        </control>
      </mc:Choice>
      <mc:Fallback>
        <control shapeId="3137" r:id="rId14" name="Blending_Propane"/>
      </mc:Fallback>
    </mc:AlternateContent>
    <mc:AlternateContent xmlns:mc="http://schemas.openxmlformats.org/markup-compatibility/2006">
      <mc:Choice Requires="x14">
        <control shapeId="3139" r:id="rId16" name="Freeze_Sidebar">
          <controlPr defaultSize="0" autoLine="0" r:id="rId17">
            <anchor moveWithCells="1">
              <from>
                <xdr:col>0</xdr:col>
                <xdr:colOff>266700</xdr:colOff>
                <xdr:row>35</xdr:row>
                <xdr:rowOff>19050</xdr:rowOff>
              </from>
              <to>
                <xdr:col>3</xdr:col>
                <xdr:colOff>9525</xdr:colOff>
                <xdr:row>36</xdr:row>
                <xdr:rowOff>66675</xdr:rowOff>
              </to>
            </anchor>
          </controlPr>
        </control>
      </mc:Choice>
      <mc:Fallback>
        <control shapeId="3139" r:id="rId16" name="Freeze_Sidebar"/>
      </mc:Fallback>
    </mc:AlternateContent>
    <mc:AlternateContent xmlns:mc="http://schemas.openxmlformats.org/markup-compatibility/2006">
      <mc:Choice Requires="x14">
        <control shapeId="3142" r:id="rId18" name="FF_CNG">
          <controlPr defaultSize="0" autoLine="0" autoPict="0" r:id="rId19">
            <anchor moveWithCells="1" sizeWithCells="1">
              <from>
                <xdr:col>2</xdr:col>
                <xdr:colOff>95250</xdr:colOff>
                <xdr:row>16</xdr:row>
                <xdr:rowOff>9525</xdr:rowOff>
              </from>
              <to>
                <xdr:col>2</xdr:col>
                <xdr:colOff>1400175</xdr:colOff>
                <xdr:row>17</xdr:row>
                <xdr:rowOff>9525</xdr:rowOff>
              </to>
            </anchor>
          </controlPr>
        </control>
      </mc:Choice>
      <mc:Fallback>
        <control shapeId="3142" r:id="rId18" name="FF_CNG"/>
      </mc:Fallback>
    </mc:AlternateContent>
    <mc:AlternateContent xmlns:mc="http://schemas.openxmlformats.org/markup-compatibility/2006">
      <mc:Choice Requires="x14">
        <control shapeId="3145" r:id="rId20" name="FF_LNG">
          <controlPr defaultSize="0" autoLine="0" r:id="rId21">
            <anchor moveWithCells="1" sizeWithCells="1">
              <from>
                <xdr:col>2</xdr:col>
                <xdr:colOff>1895475</xdr:colOff>
                <xdr:row>16</xdr:row>
                <xdr:rowOff>9525</xdr:rowOff>
              </from>
              <to>
                <xdr:col>3</xdr:col>
                <xdr:colOff>47625</xdr:colOff>
                <xdr:row>17</xdr:row>
                <xdr:rowOff>9525</xdr:rowOff>
              </to>
            </anchor>
          </controlPr>
        </control>
      </mc:Choice>
      <mc:Fallback>
        <control shapeId="3145" r:id="rId20" name="FF_LNG"/>
      </mc:Fallback>
    </mc:AlternateContent>
    <mc:AlternateContent xmlns:mc="http://schemas.openxmlformats.org/markup-compatibility/2006">
      <mc:Choice Requires="x14">
        <control shapeId="3163" r:id="rId22" name="FF_LCNG">
          <controlPr defaultSize="0" autoLine="0" autoPict="0" r:id="rId23">
            <anchor moveWithCells="1" sizeWithCells="1">
              <from>
                <xdr:col>2</xdr:col>
                <xdr:colOff>95250</xdr:colOff>
                <xdr:row>16</xdr:row>
                <xdr:rowOff>228600</xdr:rowOff>
              </from>
              <to>
                <xdr:col>2</xdr:col>
                <xdr:colOff>1562100</xdr:colOff>
                <xdr:row>17</xdr:row>
                <xdr:rowOff>228600</xdr:rowOff>
              </to>
            </anchor>
          </controlPr>
        </control>
      </mc:Choice>
      <mc:Fallback>
        <control shapeId="3163" r:id="rId22" name="FF_LCNG"/>
      </mc:Fallback>
    </mc:AlternateContent>
    <mc:AlternateContent xmlns:mc="http://schemas.openxmlformats.org/markup-compatibility/2006">
      <mc:Choice Requires="x14">
        <control shapeId="3165" r:id="rId24" name="Feedstock_FS">
          <controlPr defaultSize="0" autoLine="0" autoPict="0" r:id="rId25">
            <anchor moveWithCells="1" sizeWithCells="1">
              <from>
                <xdr:col>2</xdr:col>
                <xdr:colOff>95250</xdr:colOff>
                <xdr:row>10</xdr:row>
                <xdr:rowOff>228600</xdr:rowOff>
              </from>
              <to>
                <xdr:col>2</xdr:col>
                <xdr:colOff>1428750</xdr:colOff>
                <xdr:row>11</xdr:row>
                <xdr:rowOff>228600</xdr:rowOff>
              </to>
            </anchor>
          </controlPr>
        </control>
      </mc:Choice>
      <mc:Fallback>
        <control shapeId="3165" r:id="rId24" name="Feedstock_FS"/>
      </mc:Fallback>
    </mc:AlternateContent>
    <mc:AlternateContent xmlns:mc="http://schemas.openxmlformats.org/markup-compatibility/2006">
      <mc:Choice Requires="x14">
        <control shapeId="3166" r:id="rId26" name="Feedstock_ULW">
          <controlPr defaultSize="0" autoLine="0" autoPict="0" r:id="rId27">
            <anchor moveWithCells="1" sizeWithCells="1">
              <from>
                <xdr:col>2</xdr:col>
                <xdr:colOff>95250</xdr:colOff>
                <xdr:row>10</xdr:row>
                <xdr:rowOff>0</xdr:rowOff>
              </from>
              <to>
                <xdr:col>2</xdr:col>
                <xdr:colOff>1828800</xdr:colOff>
                <xdr:row>11</xdr:row>
                <xdr:rowOff>0</xdr:rowOff>
              </to>
            </anchor>
          </controlPr>
        </control>
      </mc:Choice>
      <mc:Fallback>
        <control shapeId="3166" r:id="rId26" name="Feedstock_ULW"/>
      </mc:Fallback>
    </mc:AlternateContent>
    <mc:AlternateContent xmlns:mc="http://schemas.openxmlformats.org/markup-compatibility/2006">
      <mc:Choice Requires="x14">
        <control shapeId="3167" r:id="rId28" name="Feedstock_OOW">
          <controlPr defaultSize="0" autoLine="0" r:id="rId29">
            <anchor moveWithCells="1" sizeWithCells="1">
              <from>
                <xdr:col>2</xdr:col>
                <xdr:colOff>1895475</xdr:colOff>
                <xdr:row>11</xdr:row>
                <xdr:rowOff>0</xdr:rowOff>
              </from>
              <to>
                <xdr:col>3</xdr:col>
                <xdr:colOff>9525</xdr:colOff>
                <xdr:row>12</xdr:row>
                <xdr:rowOff>0</xdr:rowOff>
              </to>
            </anchor>
          </controlPr>
        </control>
      </mc:Choice>
      <mc:Fallback>
        <control shapeId="3167" r:id="rId28" name="Feedstock_OOW"/>
      </mc:Fallback>
    </mc:AlternateContent>
    <mc:AlternateContent xmlns:mc="http://schemas.openxmlformats.org/markup-compatibility/2006">
      <mc:Choice Requires="x14">
        <control shapeId="3171" r:id="rId30" name="PE_Low_CI_E">
          <controlPr defaultSize="0" autoLine="0" autoPict="0" r:id="rId31">
            <anchor moveWithCells="1" sizeWithCells="1">
              <from>
                <xdr:col>2</xdr:col>
                <xdr:colOff>95250</xdr:colOff>
                <xdr:row>13</xdr:row>
                <xdr:rowOff>228600</xdr:rowOff>
              </from>
              <to>
                <xdr:col>2</xdr:col>
                <xdr:colOff>1781175</xdr:colOff>
                <xdr:row>14</xdr:row>
                <xdr:rowOff>228600</xdr:rowOff>
              </to>
            </anchor>
          </controlPr>
        </control>
      </mc:Choice>
      <mc:Fallback>
        <control shapeId="3171" r:id="rId30" name="PE_Low_CI_E"/>
      </mc:Fallback>
    </mc:AlternateContent>
    <mc:AlternateContent xmlns:mc="http://schemas.openxmlformats.org/markup-compatibility/2006">
      <mc:Choice Requires="x14">
        <control shapeId="3172" r:id="rId32" name="PE_Biogas">
          <controlPr defaultSize="0" autoLine="0" r:id="rId33">
            <anchor moveWithCells="1" sizeWithCells="1">
              <from>
                <xdr:col>2</xdr:col>
                <xdr:colOff>1895475</xdr:colOff>
                <xdr:row>14</xdr:row>
                <xdr:rowOff>0</xdr:rowOff>
              </from>
              <to>
                <xdr:col>2</xdr:col>
                <xdr:colOff>3152775</xdr:colOff>
                <xdr:row>15</xdr:row>
                <xdr:rowOff>0</xdr:rowOff>
              </to>
            </anchor>
          </controlPr>
        </control>
      </mc:Choice>
      <mc:Fallback>
        <control shapeId="3172" r:id="rId32" name="PE_Biogas"/>
      </mc:Fallback>
    </mc:AlternateContent>
    <mc:AlternateContent xmlns:mc="http://schemas.openxmlformats.org/markup-compatibility/2006">
      <mc:Choice Requires="x14">
        <control shapeId="3175" r:id="rId34" name="Feedstock_MSW">
          <controlPr defaultSize="0" autoLine="0" autoPict="0" r:id="rId35">
            <anchor moveWithCells="1" sizeWithCells="1">
              <from>
                <xdr:col>2</xdr:col>
                <xdr:colOff>1895475</xdr:colOff>
                <xdr:row>10</xdr:row>
                <xdr:rowOff>9525</xdr:rowOff>
              </from>
              <to>
                <xdr:col>2</xdr:col>
                <xdr:colOff>3152775</xdr:colOff>
                <xdr:row>11</xdr:row>
                <xdr:rowOff>9525</xdr:rowOff>
              </to>
            </anchor>
          </controlPr>
        </control>
      </mc:Choice>
      <mc:Fallback>
        <control shapeId="3175" r:id="rId34" name="Feedstock_MSW"/>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926FE2C4-B52E-4A58-9290-6BF38000B60A}">
          <x14:formula1>
            <xm:f>Background!$D$30:$D$58</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CAEAC-1397-4184-AF7C-83C6ECC8F993}">
  <sheetPr codeName="Sheet1">
    <tabColor theme="2"/>
  </sheetPr>
  <dimension ref="B1:T454"/>
  <sheetViews>
    <sheetView showGridLines="0" zoomScaleNormal="100" workbookViewId="0">
      <pane ySplit="1" topLeftCell="A28" activePane="bottomLeft" state="frozen"/>
      <selection pane="bottomLeft" activeCell="F34" sqref="F34"/>
    </sheetView>
  </sheetViews>
  <sheetFormatPr defaultColWidth="9.140625" defaultRowHeight="15" x14ac:dyDescent="0.25"/>
  <cols>
    <col min="1" max="1" width="9.140625" style="77"/>
    <col min="2" max="2" width="27.7109375" style="77" bestFit="1" customWidth="1"/>
    <col min="3" max="3" width="27.140625" style="77" bestFit="1" customWidth="1"/>
    <col min="4" max="5" width="30.5703125" style="77" bestFit="1" customWidth="1"/>
    <col min="6" max="6" width="26" style="77" bestFit="1" customWidth="1"/>
    <col min="7" max="7" width="33.140625" style="77" bestFit="1" customWidth="1"/>
    <col min="8" max="8" width="28.7109375" style="77" bestFit="1" customWidth="1"/>
    <col min="9" max="9" width="30.7109375" style="77" customWidth="1"/>
    <col min="10" max="11" width="28.7109375" style="77" bestFit="1" customWidth="1"/>
    <col min="12" max="12" width="30" style="77" bestFit="1" customWidth="1"/>
    <col min="13" max="13" width="17.85546875" style="77" bestFit="1" customWidth="1"/>
    <col min="14" max="14" width="33.85546875" style="77" bestFit="1" customWidth="1"/>
    <col min="15" max="15" width="15" style="77" bestFit="1" customWidth="1"/>
    <col min="16" max="16" width="17.140625" style="77" bestFit="1" customWidth="1"/>
    <col min="17" max="17" width="11.42578125" style="77" bestFit="1" customWidth="1"/>
    <col min="18" max="18" width="27.140625" style="77" bestFit="1" customWidth="1"/>
    <col min="19" max="19" width="28.7109375" style="77" bestFit="1" customWidth="1"/>
    <col min="20" max="20" width="30" style="77" bestFit="1" customWidth="1"/>
    <col min="21" max="21" width="28.7109375" style="77" bestFit="1" customWidth="1"/>
    <col min="22" max="22" width="30" style="77" bestFit="1" customWidth="1"/>
    <col min="23" max="23" width="100.7109375" style="77" customWidth="1"/>
    <col min="24" max="24" width="25.85546875" style="77" bestFit="1" customWidth="1"/>
    <col min="25" max="25" width="33.85546875" style="77" bestFit="1" customWidth="1"/>
    <col min="26" max="26" width="15" style="77" bestFit="1" customWidth="1"/>
    <col min="27" max="27" width="17.140625" style="77" bestFit="1" customWidth="1"/>
    <col min="28" max="28" width="11.42578125" style="77" bestFit="1" customWidth="1"/>
    <col min="29" max="29" width="27.140625" style="77" bestFit="1" customWidth="1"/>
    <col min="30" max="30" width="28.7109375" style="77" bestFit="1" customWidth="1"/>
    <col min="31" max="31" width="30" style="77" bestFit="1" customWidth="1"/>
    <col min="32" max="32" width="28.7109375" style="77" bestFit="1" customWidth="1"/>
    <col min="33" max="33" width="30" style="77" bestFit="1" customWidth="1"/>
    <col min="34" max="34" width="100.7109375" style="77" customWidth="1"/>
    <col min="35" max="35" width="25.85546875" style="77" bestFit="1" customWidth="1"/>
    <col min="36" max="36" width="33.85546875" style="77" bestFit="1" customWidth="1"/>
    <col min="37" max="37" width="15" style="77" bestFit="1" customWidth="1"/>
    <col min="38" max="38" width="17.140625" style="77" bestFit="1" customWidth="1"/>
    <col min="39" max="39" width="11.42578125" style="77" bestFit="1" customWidth="1"/>
    <col min="40" max="40" width="27.140625" style="77" bestFit="1" customWidth="1"/>
    <col min="41" max="41" width="28.7109375" style="77" bestFit="1" customWidth="1"/>
    <col min="42" max="42" width="30" style="77" bestFit="1" customWidth="1"/>
    <col min="43" max="43" width="28.7109375" style="77" bestFit="1" customWidth="1"/>
    <col min="44" max="44" width="30" style="77" bestFit="1" customWidth="1"/>
    <col min="45" max="16384" width="9.140625" style="77"/>
  </cols>
  <sheetData>
    <row r="1" spans="2:9" customFormat="1" ht="30" customHeight="1" x14ac:dyDescent="0.25"/>
    <row r="2" spans="2:9" s="1" customFormat="1" ht="30" customHeight="1" x14ac:dyDescent="0.25">
      <c r="D2" s="27"/>
    </row>
    <row r="3" spans="2:9" s="1" customFormat="1" ht="10.5" customHeight="1" x14ac:dyDescent="0.25">
      <c r="D3" s="27"/>
    </row>
    <row r="4" spans="2:9" customFormat="1" ht="18.75" x14ac:dyDescent="0.25">
      <c r="B4" s="456" t="s">
        <v>104</v>
      </c>
      <c r="C4" s="457"/>
      <c r="D4" s="457"/>
      <c r="E4" s="457"/>
      <c r="F4" s="457"/>
      <c r="G4" s="457"/>
      <c r="H4" s="457"/>
      <c r="I4" s="458"/>
    </row>
    <row r="5" spans="2:9" customFormat="1" ht="39" customHeight="1" x14ac:dyDescent="0.25">
      <c r="B5" s="247"/>
      <c r="C5" s="459" t="s">
        <v>105</v>
      </c>
      <c r="D5" s="459"/>
      <c r="E5" s="459" t="s">
        <v>106</v>
      </c>
      <c r="F5" s="459"/>
      <c r="G5" s="459"/>
      <c r="H5" s="459"/>
      <c r="I5" s="459"/>
    </row>
    <row r="6" spans="2:9" customFormat="1" ht="45" x14ac:dyDescent="0.25">
      <c r="B6" s="205" t="s">
        <v>107</v>
      </c>
      <c r="C6" s="205" t="s">
        <v>108</v>
      </c>
      <c r="D6" s="205" t="s">
        <v>220</v>
      </c>
      <c r="E6" s="205" t="s">
        <v>221</v>
      </c>
      <c r="F6" s="205" t="s">
        <v>109</v>
      </c>
      <c r="G6" s="205" t="s">
        <v>110</v>
      </c>
      <c r="H6" s="205" t="s">
        <v>111</v>
      </c>
      <c r="I6" s="205" t="s">
        <v>222</v>
      </c>
    </row>
    <row r="7" spans="2:9" customFormat="1" x14ac:dyDescent="0.25">
      <c r="B7" s="129" t="s">
        <v>112</v>
      </c>
      <c r="C7" s="144">
        <v>295433.77862430399</v>
      </c>
      <c r="D7" s="248">
        <f>C7*H7/SUMPRODUCT(C7:C17,H7:H17)</f>
        <v>2.2856223998607671E-2</v>
      </c>
      <c r="E7" s="155">
        <v>0.49</v>
      </c>
      <c r="F7" s="155">
        <v>0.16</v>
      </c>
      <c r="G7" s="141">
        <v>0.04</v>
      </c>
      <c r="H7" s="145">
        <v>0.87</v>
      </c>
      <c r="I7" s="249">
        <f t="shared" ref="I7:I17" si="0">E7*F7*T2MT</f>
        <v>7.1123283615999996E-2</v>
      </c>
    </row>
    <row r="8" spans="2:9" customFormat="1" x14ac:dyDescent="0.25">
      <c r="B8" s="129" t="s">
        <v>113</v>
      </c>
      <c r="C8" s="144">
        <v>1637360.414416671</v>
      </c>
      <c r="D8" s="248">
        <f>C8*H8/SUMPRODUCT(C7:C17,H7:H17)</f>
        <v>0.13249843865506852</v>
      </c>
      <c r="E8" s="155">
        <v>0.32</v>
      </c>
      <c r="F8" s="155">
        <v>0.88</v>
      </c>
      <c r="G8" s="141">
        <v>0.04</v>
      </c>
      <c r="H8" s="145">
        <v>0.91</v>
      </c>
      <c r="I8" s="249">
        <f t="shared" si="0"/>
        <v>0.25546322278400002</v>
      </c>
    </row>
    <row r="9" spans="2:9" customFormat="1" x14ac:dyDescent="0.25">
      <c r="B9" s="129" t="s">
        <v>114</v>
      </c>
      <c r="C9" s="144">
        <v>1643490.0739254842</v>
      </c>
      <c r="D9" s="248">
        <f>C9*H9/SUMPRODUCT(C7:C17,H7:H17)</f>
        <v>0.1213026419028051</v>
      </c>
      <c r="E9" s="155">
        <v>0.47</v>
      </c>
      <c r="F9" s="155">
        <v>0.45</v>
      </c>
      <c r="G9" s="141">
        <v>0.03</v>
      </c>
      <c r="H9" s="145">
        <v>0.83</v>
      </c>
      <c r="I9" s="249">
        <f t="shared" si="0"/>
        <v>0.19186957251</v>
      </c>
    </row>
    <row r="10" spans="2:9" customFormat="1" x14ac:dyDescent="0.25">
      <c r="B10" s="129" t="s">
        <v>115</v>
      </c>
      <c r="C10" s="144">
        <v>2617540.8591912617</v>
      </c>
      <c r="D10" s="248">
        <f>C10*H10/SUMPRODUCT(C7:C17,H7:H17)</f>
        <v>0.21414423086594161</v>
      </c>
      <c r="E10" s="155">
        <v>0.34</v>
      </c>
      <c r="F10" s="155">
        <v>0.26</v>
      </c>
      <c r="G10" s="141">
        <v>0.16</v>
      </c>
      <c r="H10" s="145">
        <v>0.92</v>
      </c>
      <c r="I10" s="249">
        <f t="shared" si="0"/>
        <v>8.019513101600001E-2</v>
      </c>
    </row>
    <row r="11" spans="2:9" customFormat="1" x14ac:dyDescent="0.25">
      <c r="B11" s="129" t="s">
        <v>116</v>
      </c>
      <c r="C11" s="144">
        <v>4362949.5122910086</v>
      </c>
      <c r="D11" s="248">
        <f>C11*H11/SUMPRODUCT(C7:C17,H7:H17)</f>
        <v>0.1047536184212338</v>
      </c>
      <c r="E11" s="155">
        <v>0.5</v>
      </c>
      <c r="F11" s="155">
        <v>0.84</v>
      </c>
      <c r="G11" s="141">
        <v>0.19</v>
      </c>
      <c r="H11" s="145">
        <v>0.27</v>
      </c>
      <c r="I11" s="249">
        <f t="shared" si="0"/>
        <v>0.38101759080000003</v>
      </c>
    </row>
    <row r="12" spans="2:9" customFormat="1" x14ac:dyDescent="0.25">
      <c r="B12" s="129" t="s">
        <v>117</v>
      </c>
      <c r="C12" s="144">
        <v>441945.77554605337</v>
      </c>
      <c r="D12" s="248">
        <f>C12*H12/SUMPRODUCT(C7:C17,H7:H17)</f>
        <v>7.0740247324288553E-3</v>
      </c>
      <c r="E12" s="155">
        <v>0.45</v>
      </c>
      <c r="F12" s="155">
        <v>0.47</v>
      </c>
      <c r="G12" s="141">
        <v>0.39</v>
      </c>
      <c r="H12" s="145">
        <v>0.18</v>
      </c>
      <c r="I12" s="249">
        <f t="shared" si="0"/>
        <v>0.19186957251</v>
      </c>
    </row>
    <row r="13" spans="2:9" customFormat="1" x14ac:dyDescent="0.25">
      <c r="B13" s="129" t="s">
        <v>118</v>
      </c>
      <c r="C13" s="144">
        <v>441945.77554605337</v>
      </c>
      <c r="D13" s="248">
        <f>C13*H13/SUMPRODUCT(C7:C17,H7:H17)</f>
        <v>2.4366085189477169E-2</v>
      </c>
      <c r="E13" s="155">
        <v>0.46</v>
      </c>
      <c r="F13" s="155">
        <v>0.15</v>
      </c>
      <c r="G13" s="141">
        <v>0.22</v>
      </c>
      <c r="H13" s="145">
        <v>0.62</v>
      </c>
      <c r="I13" s="249">
        <f t="shared" si="0"/>
        <v>6.2595747060000012E-2</v>
      </c>
    </row>
    <row r="14" spans="2:9" customFormat="1" x14ac:dyDescent="0.25">
      <c r="B14" s="129" t="s">
        <v>119</v>
      </c>
      <c r="C14" s="144">
        <v>1527296.7971087794</v>
      </c>
      <c r="D14" s="248">
        <f>C14*H14/SUMPRODUCT(C7:C17,H7:H17)</f>
        <v>0.11408480617650975</v>
      </c>
      <c r="E14" s="155">
        <v>0.49</v>
      </c>
      <c r="F14" s="155">
        <v>0.23</v>
      </c>
      <c r="G14" s="141">
        <v>0.02</v>
      </c>
      <c r="H14" s="145">
        <v>0.84</v>
      </c>
      <c r="I14" s="249">
        <f t="shared" si="0"/>
        <v>0.10223972019800001</v>
      </c>
    </row>
    <row r="15" spans="2:9" customFormat="1" x14ac:dyDescent="0.25">
      <c r="B15" s="129" t="s">
        <v>120</v>
      </c>
      <c r="C15" s="143">
        <v>1768515</v>
      </c>
      <c r="D15" s="248">
        <f>C15*H15/SUMPRODUCT(C7:C17,H7:H17)</f>
        <v>0.11794922535287126</v>
      </c>
      <c r="E15" s="155">
        <v>0.49</v>
      </c>
      <c r="F15" s="155">
        <v>0.12</v>
      </c>
      <c r="G15" s="141">
        <v>0.11</v>
      </c>
      <c r="H15" s="145">
        <v>0.75</v>
      </c>
      <c r="I15" s="249">
        <f t="shared" si="0"/>
        <v>5.3342462712000001E-2</v>
      </c>
    </row>
    <row r="16" spans="2:9" customFormat="1" x14ac:dyDescent="0.25">
      <c r="B16" s="129" t="s">
        <v>121</v>
      </c>
      <c r="C16" s="143">
        <v>751487</v>
      </c>
      <c r="D16" s="248">
        <f>C16*H16/SUMPRODUCT(C7:C17,H7:H17)</f>
        <v>5.0119625512225326E-2</v>
      </c>
      <c r="E16" s="155">
        <v>0.44</v>
      </c>
      <c r="F16" s="155">
        <v>0.16</v>
      </c>
      <c r="G16" s="141">
        <v>0.08</v>
      </c>
      <c r="H16" s="145">
        <v>0.75</v>
      </c>
      <c r="I16" s="249">
        <f t="shared" si="0"/>
        <v>6.3865805696000005E-2</v>
      </c>
    </row>
    <row r="17" spans="2:12" customFormat="1" x14ac:dyDescent="0.25">
      <c r="B17" s="129" t="s">
        <v>122</v>
      </c>
      <c r="C17" s="143">
        <v>1362209</v>
      </c>
      <c r="D17" s="248">
        <f>C17*H17/SUMPRODUCT(C7:C17,H7:H17)</f>
        <v>9.0851079192830947E-2</v>
      </c>
      <c r="E17" s="155">
        <v>0.46</v>
      </c>
      <c r="F17" s="155">
        <v>0.01</v>
      </c>
      <c r="G17" s="141">
        <f>AVERAGE(G15:G16)</f>
        <v>9.5000000000000001E-2</v>
      </c>
      <c r="H17" s="145">
        <v>0.75</v>
      </c>
      <c r="I17" s="249">
        <f t="shared" si="0"/>
        <v>4.1730498040000001E-3</v>
      </c>
    </row>
    <row r="18" spans="2:12" customFormat="1" x14ac:dyDescent="0.25">
      <c r="B18" s="462"/>
      <c r="C18" s="462"/>
      <c r="D18" s="462"/>
      <c r="E18" s="462"/>
      <c r="F18" s="462"/>
      <c r="G18" s="462"/>
      <c r="H18" s="462"/>
      <c r="I18" s="462"/>
    </row>
    <row r="19" spans="2:12" customFormat="1" x14ac:dyDescent="0.25">
      <c r="B19" s="460" t="s">
        <v>123</v>
      </c>
      <c r="C19" s="460"/>
      <c r="D19" s="460"/>
      <c r="E19" s="460"/>
      <c r="F19" s="460"/>
      <c r="G19" s="460" t="s">
        <v>124</v>
      </c>
      <c r="H19" s="460"/>
      <c r="I19" s="460"/>
    </row>
    <row r="20" spans="2:12" customFormat="1" ht="30" x14ac:dyDescent="0.25">
      <c r="B20" s="205" t="s">
        <v>125</v>
      </c>
      <c r="C20" s="205" t="s">
        <v>126</v>
      </c>
      <c r="D20" s="205" t="s">
        <v>127</v>
      </c>
      <c r="E20" s="461" t="s">
        <v>223</v>
      </c>
      <c r="F20" s="461"/>
      <c r="G20" s="205" t="s">
        <v>107</v>
      </c>
      <c r="H20" s="205" t="s">
        <v>128</v>
      </c>
      <c r="I20" s="205" t="s">
        <v>129</v>
      </c>
    </row>
    <row r="21" spans="2:12" customFormat="1" ht="18" x14ac:dyDescent="0.25">
      <c r="B21" s="205" t="s">
        <v>130</v>
      </c>
      <c r="C21" s="176">
        <v>0</v>
      </c>
      <c r="D21" s="176">
        <v>0</v>
      </c>
      <c r="E21" s="205" t="s">
        <v>322</v>
      </c>
      <c r="F21" s="177">
        <v>1.96</v>
      </c>
      <c r="G21" s="206" t="s">
        <v>55</v>
      </c>
      <c r="H21" s="162">
        <v>0.35899999999999999</v>
      </c>
      <c r="I21" s="162">
        <f>1-H21</f>
        <v>0.64100000000000001</v>
      </c>
    </row>
    <row r="22" spans="2:12" customFormat="1" ht="18" x14ac:dyDescent="0.25">
      <c r="B22" s="205">
        <v>3</v>
      </c>
      <c r="C22" s="176">
        <v>0.5</v>
      </c>
      <c r="D22" s="176">
        <v>0.5</v>
      </c>
      <c r="E22" s="205" t="s">
        <v>323</v>
      </c>
      <c r="F22" s="178">
        <v>7.4999999999999997E-2</v>
      </c>
      <c r="G22" s="206" t="s">
        <v>56</v>
      </c>
      <c r="H22" s="162">
        <v>0.97499999999999998</v>
      </c>
      <c r="I22" s="162">
        <f>1-H22</f>
        <v>2.5000000000000022E-2</v>
      </c>
    </row>
    <row r="23" spans="2:12" customFormat="1" x14ac:dyDescent="0.25">
      <c r="B23" s="205" t="s">
        <v>131</v>
      </c>
      <c r="C23" s="176">
        <v>0.75</v>
      </c>
      <c r="D23" s="176">
        <v>0.7</v>
      </c>
      <c r="E23" s="180"/>
      <c r="F23" s="180"/>
      <c r="G23" s="181"/>
      <c r="H23" s="142"/>
      <c r="I23" s="182"/>
    </row>
    <row r="24" spans="2:12" customFormat="1" x14ac:dyDescent="0.25">
      <c r="B24" s="250" t="s">
        <v>132</v>
      </c>
      <c r="C24" s="173">
        <v>0.75</v>
      </c>
      <c r="D24" s="176">
        <v>0.8</v>
      </c>
      <c r="E24" s="180"/>
      <c r="F24" s="77"/>
      <c r="G24" s="77"/>
      <c r="H24" s="77"/>
      <c r="I24" s="182"/>
    </row>
    <row r="25" spans="2:12" customFormat="1" x14ac:dyDescent="0.25">
      <c r="B25" s="205" t="s">
        <v>133</v>
      </c>
      <c r="C25" s="176">
        <v>0.95</v>
      </c>
      <c r="D25" s="176">
        <v>0.8</v>
      </c>
      <c r="E25" s="180"/>
      <c r="F25" s="77"/>
      <c r="G25" s="77"/>
      <c r="H25" s="77"/>
      <c r="I25" s="183"/>
    </row>
    <row r="26" spans="2:12" customFormat="1" x14ac:dyDescent="0.25">
      <c r="B26" s="205" t="s">
        <v>134</v>
      </c>
      <c r="C26" s="173">
        <v>0.95</v>
      </c>
      <c r="D26" s="173">
        <v>0</v>
      </c>
      <c r="E26" s="184"/>
      <c r="F26" s="185"/>
      <c r="G26" s="185"/>
      <c r="H26" s="185"/>
      <c r="I26" s="186"/>
    </row>
    <row r="27" spans="2:12" ht="29.25" customHeight="1" x14ac:dyDescent="0.25">
      <c r="G27" s="27"/>
    </row>
    <row r="28" spans="2:12" ht="18.75" customHeight="1" x14ac:dyDescent="0.25">
      <c r="B28" s="425" t="s">
        <v>135</v>
      </c>
      <c r="C28" s="425"/>
      <c r="D28" s="425"/>
      <c r="E28" s="425"/>
      <c r="F28" s="425"/>
      <c r="G28" s="425"/>
      <c r="H28" s="425"/>
      <c r="I28" s="425"/>
      <c r="J28" s="425"/>
      <c r="K28" s="425"/>
      <c r="L28" s="163"/>
    </row>
    <row r="29" spans="2:12" ht="30" x14ac:dyDescent="0.25">
      <c r="B29" s="467"/>
      <c r="C29" s="205" t="s">
        <v>224</v>
      </c>
      <c r="D29" s="205" t="s">
        <v>136</v>
      </c>
      <c r="E29" s="205" t="s">
        <v>137</v>
      </c>
      <c r="F29" s="205" t="s">
        <v>324</v>
      </c>
      <c r="G29" s="205" t="s">
        <v>325</v>
      </c>
      <c r="H29" s="205" t="s">
        <v>138</v>
      </c>
      <c r="I29" s="205" t="s">
        <v>139</v>
      </c>
      <c r="J29" s="205" t="s">
        <v>140</v>
      </c>
      <c r="K29" s="205" t="s">
        <v>141</v>
      </c>
    </row>
    <row r="30" spans="2:12" x14ac:dyDescent="0.25">
      <c r="B30" s="468"/>
      <c r="C30" s="252">
        <f>SUMPRODUCT(AvoidedEmissions!I12:I14,AvoidedEmissions!D12:D14)/SUM(AvoidedEmissions!D12:D14)</f>
        <v>9.9958841819163882E-2</v>
      </c>
      <c r="D30" s="253">
        <f>SUMPRODUCT(AvoidedEmissions!G12:G14,AvoidedEmissions!D12:D14)/SUM(AvoidedEmissions!D12:D14)</f>
        <v>7.1473014997846501E-2</v>
      </c>
      <c r="E30" s="254">
        <v>0.1</v>
      </c>
      <c r="F30" s="254">
        <v>0.5</v>
      </c>
      <c r="G30" s="255">
        <f>Background!E13/Background!E12</f>
        <v>1.3333333333333333</v>
      </c>
      <c r="H30" s="256">
        <v>6</v>
      </c>
      <c r="I30" s="255">
        <f>EXP(-D30)</f>
        <v>0.93102140087039187</v>
      </c>
      <c r="J30" s="255">
        <f>((1/D30)*(EXP(-(D30*(1-H30/12)))-EXP(-D30))-((H30/12)*EXP(-D30)))</f>
        <v>8.4178387054759662E-3</v>
      </c>
      <c r="K30" s="255">
        <f>((1/D30)*(1-EXP(-(D30*(1-H30/12))))+(H30/12))</f>
        <v>0.99117135389849076</v>
      </c>
    </row>
    <row r="31" spans="2:12" x14ac:dyDescent="0.25">
      <c r="B31" s="464" t="s">
        <v>142</v>
      </c>
      <c r="C31" s="465"/>
      <c r="D31" s="465"/>
      <c r="E31" s="465"/>
      <c r="F31" s="465"/>
      <c r="G31" s="466"/>
      <c r="H31" s="464" t="s">
        <v>126</v>
      </c>
      <c r="I31" s="466"/>
      <c r="J31" s="464" t="s">
        <v>127</v>
      </c>
      <c r="K31" s="466"/>
      <c r="L31" s="170"/>
    </row>
    <row r="32" spans="2:12" x14ac:dyDescent="0.25">
      <c r="B32" s="205" t="s">
        <v>125</v>
      </c>
      <c r="C32" s="205" t="s">
        <v>143</v>
      </c>
      <c r="D32" s="205" t="s">
        <v>144</v>
      </c>
      <c r="E32" s="205" t="s">
        <v>145</v>
      </c>
      <c r="F32" s="205" t="s">
        <v>146</v>
      </c>
      <c r="G32" s="205" t="s">
        <v>225</v>
      </c>
      <c r="H32" s="251" t="s">
        <v>147</v>
      </c>
      <c r="I32" s="251" t="s">
        <v>226</v>
      </c>
      <c r="J32" s="205" t="s">
        <v>147</v>
      </c>
      <c r="K32" s="205" t="s">
        <v>226</v>
      </c>
      <c r="L32" s="157"/>
    </row>
    <row r="33" spans="2:12" x14ac:dyDescent="0.25">
      <c r="B33" s="257">
        <v>1</v>
      </c>
      <c r="C33" s="258">
        <v>0</v>
      </c>
      <c r="D33" s="258">
        <v>0</v>
      </c>
      <c r="E33" s="258">
        <f>C30</f>
        <v>9.9958841819163882E-2</v>
      </c>
      <c r="F33" s="258">
        <f>C33*I30+D33*J30+E33*K30</f>
        <v>9.9076340580025749E-2</v>
      </c>
      <c r="G33" s="258">
        <f>((C33*(1-I30))-(D33*J30)+(E33*(1-K30)))*F30*G30</f>
        <v>5.8833415942542667E-4</v>
      </c>
      <c r="H33" s="259">
        <v>0</v>
      </c>
      <c r="I33" s="260">
        <f>G33*(1-H33)*(1-E30)</f>
        <v>5.29500743482884E-4</v>
      </c>
      <c r="J33" s="261">
        <v>0</v>
      </c>
      <c r="K33" s="258">
        <f>G33*(1-J33)*(1-E30)</f>
        <v>5.29500743482884E-4</v>
      </c>
      <c r="L33" s="171"/>
    </row>
    <row r="34" spans="2:12" x14ac:dyDescent="0.25">
      <c r="B34" s="257">
        <v>2</v>
      </c>
      <c r="C34" s="258">
        <f t="shared" ref="C34:C65" si="1">F33</f>
        <v>9.9076340580025749E-2</v>
      </c>
      <c r="D34" s="258">
        <f t="shared" ref="D34:D65" si="2">E33</f>
        <v>9.9958841819163882E-2</v>
      </c>
      <c r="E34" s="258">
        <f>0</f>
        <v>0</v>
      </c>
      <c r="F34" s="258">
        <f>C34*I30+D34*J30+E34*K30</f>
        <v>9.3083630807547529E-2</v>
      </c>
      <c r="G34" s="258">
        <f>((C34*(1-I30))-(D34*J30)+(E34*(1-K30)))*F30*G30</f>
        <v>3.9951398483188101E-3</v>
      </c>
      <c r="H34" s="261">
        <v>0</v>
      </c>
      <c r="I34" s="258">
        <f>G34*(1-H34)*(1-E30)</f>
        <v>3.5956258634869294E-3</v>
      </c>
      <c r="J34" s="261">
        <v>0</v>
      </c>
      <c r="K34" s="258">
        <f>G34*(1-J34)*(1-E30)</f>
        <v>3.5956258634869294E-3</v>
      </c>
      <c r="L34" s="171"/>
    </row>
    <row r="35" spans="2:12" x14ac:dyDescent="0.25">
      <c r="B35" s="257">
        <v>3</v>
      </c>
      <c r="C35" s="258">
        <f t="shared" si="1"/>
        <v>9.3083630807547529E-2</v>
      </c>
      <c r="D35" s="258">
        <f t="shared" si="2"/>
        <v>0</v>
      </c>
      <c r="E35" s="258">
        <f>0</f>
        <v>0</v>
      </c>
      <c r="F35" s="258">
        <f>C35*I30+D35*J30+E35*K30</f>
        <v>8.6662852352545269E-2</v>
      </c>
      <c r="G35" s="258">
        <f>((C35*(1-I30))-(D35*J30)+(E35*(1-K30)))*F30*G30</f>
        <v>4.2805189700015085E-3</v>
      </c>
      <c r="H35" s="261">
        <f>0.5*0.9977</f>
        <v>0.49885000000000002</v>
      </c>
      <c r="I35" s="258">
        <f>G35*(1-H35)*(1-E30)</f>
        <v>1.9306638736346303E-3</v>
      </c>
      <c r="J35" s="261">
        <f>0.5*0.9977</f>
        <v>0.49885000000000002</v>
      </c>
      <c r="K35" s="258">
        <f>G35*(1-J35)*(1-E30)</f>
        <v>1.9306638736346303E-3</v>
      </c>
      <c r="L35" s="171"/>
    </row>
    <row r="36" spans="2:12" hidden="1" x14ac:dyDescent="0.25">
      <c r="B36" s="257">
        <v>4</v>
      </c>
      <c r="C36" s="258">
        <f t="shared" si="1"/>
        <v>8.6662852352545269E-2</v>
      </c>
      <c r="D36" s="258">
        <f t="shared" si="2"/>
        <v>0</v>
      </c>
      <c r="E36" s="258">
        <f>0</f>
        <v>0</v>
      </c>
      <c r="F36" s="258">
        <f>C36*I30+D36*J30+E36*K30</f>
        <v>8.0684970200690626E-2</v>
      </c>
      <c r="G36" s="258">
        <f>((C36*(1-I30))-(D36*J30)+(E36*(1-K30)))*F30*G30</f>
        <v>3.9852547679030906E-3</v>
      </c>
      <c r="H36" s="261">
        <f t="shared" ref="H36:H42" si="3">0.75*0.9977</f>
        <v>0.74827500000000002</v>
      </c>
      <c r="I36" s="258">
        <f>G36*(1-H36)*(1-E30)</f>
        <v>9.0286943080536484E-4</v>
      </c>
      <c r="J36" s="261">
        <f>0.7*0.9977</f>
        <v>0.69838999999999996</v>
      </c>
      <c r="K36" s="258">
        <f>G36*(1-J36)*(1-E30)</f>
        <v>1.0817934214925262E-3</v>
      </c>
      <c r="L36" s="171"/>
    </row>
    <row r="37" spans="2:12" hidden="1" x14ac:dyDescent="0.25">
      <c r="B37" s="257">
        <v>5</v>
      </c>
      <c r="C37" s="258">
        <f t="shared" si="1"/>
        <v>8.0684970200690626E-2</v>
      </c>
      <c r="D37" s="258">
        <f t="shared" si="2"/>
        <v>0</v>
      </c>
      <c r="E37" s="258">
        <f>0</f>
        <v>0</v>
      </c>
      <c r="F37" s="258">
        <f>C37*I30+D37*J30+E37*K30</f>
        <v>7.5119433985432804E-2</v>
      </c>
      <c r="G37" s="258">
        <f>((C37*(1-I30))-(D37*J30)+(E37*(1-K30)))*F30*G30</f>
        <v>3.710357476838544E-3</v>
      </c>
      <c r="H37" s="261">
        <f t="shared" si="3"/>
        <v>0.74827500000000002</v>
      </c>
      <c r="I37" s="258">
        <f>G37*(1-H37)*(1-E30)</f>
        <v>8.4059076227146416E-4</v>
      </c>
      <c r="J37" s="261">
        <f>0.7*0.9977</f>
        <v>0.69838999999999996</v>
      </c>
      <c r="K37" s="258">
        <f>G37*(1-J37)*(1-E30)</f>
        <v>1.007172826730346E-3</v>
      </c>
      <c r="L37" s="171"/>
    </row>
    <row r="38" spans="2:12" hidden="1" x14ac:dyDescent="0.25">
      <c r="B38" s="257">
        <v>6</v>
      </c>
      <c r="C38" s="258">
        <f t="shared" si="1"/>
        <v>7.5119433985432804E-2</v>
      </c>
      <c r="D38" s="258">
        <f t="shared" si="2"/>
        <v>0</v>
      </c>
      <c r="E38" s="258">
        <f>0</f>
        <v>0</v>
      </c>
      <c r="F38" s="258">
        <f>C38*I30+D38*J30+E38*K30</f>
        <v>6.9937800661708571E-2</v>
      </c>
      <c r="G38" s="258">
        <f>((C38*(1-I30))-(D38*J30)+(E38*(1-K30)))*F30*G30</f>
        <v>3.4544222158161535E-3</v>
      </c>
      <c r="H38" s="261">
        <f t="shared" si="3"/>
        <v>0.74827500000000002</v>
      </c>
      <c r="I38" s="258">
        <f>G38*(1-H38)*(1-E30)</f>
        <v>7.8260798904868903E-4</v>
      </c>
      <c r="J38" s="261">
        <f t="shared" ref="J38:J69" si="4">0.8*0.9977</f>
        <v>0.79816000000000009</v>
      </c>
      <c r="K38" s="258">
        <f>G38*(1-J38)*(1-E30)</f>
        <v>6.275165220362989E-4</v>
      </c>
      <c r="L38" s="171"/>
    </row>
    <row r="39" spans="2:12" hidden="1" x14ac:dyDescent="0.25">
      <c r="B39" s="257">
        <v>7</v>
      </c>
      <c r="C39" s="258">
        <f t="shared" si="1"/>
        <v>6.9937800661708571E-2</v>
      </c>
      <c r="D39" s="258">
        <f t="shared" si="2"/>
        <v>0</v>
      </c>
      <c r="E39" s="258">
        <f>0</f>
        <v>0</v>
      </c>
      <c r="F39" s="258">
        <f>C39*I30+D39*J30+E39*K30</f>
        <v>6.5113589145858131E-2</v>
      </c>
      <c r="G39" s="258">
        <f>((C39*(1-I30))-(D39*J30)+(E39*(1-K30)))*F30*G30</f>
        <v>3.2161410105669584E-3</v>
      </c>
      <c r="H39" s="261">
        <f t="shared" si="3"/>
        <v>0.74827500000000002</v>
      </c>
      <c r="I39" s="258">
        <f>G39*(1-H39)*(1-E30)</f>
        <v>7.2862478629647073E-4</v>
      </c>
      <c r="J39" s="261">
        <f t="shared" si="4"/>
        <v>0.79816000000000009</v>
      </c>
      <c r="K39" s="258">
        <f>G39*(1-J39)*(1-E30)</f>
        <v>5.8423131141555117E-4</v>
      </c>
      <c r="L39" s="171"/>
    </row>
    <row r="40" spans="2:12" hidden="1" x14ac:dyDescent="0.25">
      <c r="B40" s="257">
        <v>8</v>
      </c>
      <c r="C40" s="258">
        <f t="shared" si="1"/>
        <v>6.5113589145858131E-2</v>
      </c>
      <c r="D40" s="258">
        <f t="shared" si="2"/>
        <v>0</v>
      </c>
      <c r="E40" s="258">
        <f>0</f>
        <v>0</v>
      </c>
      <c r="F40" s="258">
        <f>C40*I30+D40*J30+E40*K30</f>
        <v>6.0622144982275979E-2</v>
      </c>
      <c r="G40" s="258">
        <f>((C40*(1-I30))-(D40*J30)+(E40*(1-K30)))*F30*G30</f>
        <v>2.9942961090547674E-3</v>
      </c>
      <c r="H40" s="261">
        <f t="shared" si="3"/>
        <v>0.74827500000000002</v>
      </c>
      <c r="I40" s="258">
        <f>G40*(1-H40)*(1-E30)</f>
        <v>6.7836526924663009E-4</v>
      </c>
      <c r="J40" s="261">
        <f t="shared" si="4"/>
        <v>0.79816000000000009</v>
      </c>
      <c r="K40" s="258">
        <f>G40*(1-J40)*(1-E30)</f>
        <v>5.4393185398645262E-4</v>
      </c>
      <c r="L40" s="171"/>
    </row>
    <row r="41" spans="2:12" hidden="1" x14ac:dyDescent="0.25">
      <c r="B41" s="257">
        <v>9</v>
      </c>
      <c r="C41" s="258">
        <f t="shared" si="1"/>
        <v>6.0622144982275979E-2</v>
      </c>
      <c r="D41" s="258">
        <f t="shared" si="2"/>
        <v>0</v>
      </c>
      <c r="E41" s="258">
        <f>0</f>
        <v>0</v>
      </c>
      <c r="F41" s="258">
        <f>C41*I30+D41*J30+E41*K30</f>
        <v>5.644051434516658E-2</v>
      </c>
      <c r="G41" s="258">
        <f>((C41*(1-I30))-(D41*J30)+(E41*(1-K30)))*F30*G30</f>
        <v>2.787753758072933E-3</v>
      </c>
      <c r="H41" s="261">
        <f t="shared" si="3"/>
        <v>0.74827500000000002</v>
      </c>
      <c r="I41" s="258">
        <f>G41*(1-H41)*(1-E30)</f>
        <v>6.3157258327581811E-4</v>
      </c>
      <c r="J41" s="261">
        <f t="shared" si="4"/>
        <v>0.79816000000000009</v>
      </c>
      <c r="K41" s="258">
        <f>G41*(1-J41)*(1-E30)</f>
        <v>5.0641219667649652E-4</v>
      </c>
      <c r="L41" s="171"/>
    </row>
    <row r="42" spans="2:12" hidden="1" x14ac:dyDescent="0.25">
      <c r="B42" s="257">
        <v>10</v>
      </c>
      <c r="C42" s="258">
        <f t="shared" si="1"/>
        <v>5.644051434516658E-2</v>
      </c>
      <c r="D42" s="258">
        <f t="shared" si="2"/>
        <v>0</v>
      </c>
      <c r="E42" s="258">
        <f>0</f>
        <v>0</v>
      </c>
      <c r="F42" s="258">
        <f>C42*I30+D42*J30+E42*K30</f>
        <v>5.2547326731482435E-2</v>
      </c>
      <c r="G42" s="258">
        <f>((C42*(1-I30))-(D42*J30)+(E42*(1-K30)))*F30*G30</f>
        <v>2.5954584091227619E-3</v>
      </c>
      <c r="H42" s="261">
        <f t="shared" si="3"/>
        <v>0.74827500000000002</v>
      </c>
      <c r="I42" s="258">
        <f>G42*(1-H42)*(1-E30)</f>
        <v>5.880075912327845E-4</v>
      </c>
      <c r="J42" s="261">
        <f t="shared" si="4"/>
        <v>0.79816000000000009</v>
      </c>
      <c r="K42" s="258">
        <f>G42*(1-J42)*(1-E30)</f>
        <v>4.7148059276760424E-4</v>
      </c>
      <c r="L42" s="171"/>
    </row>
    <row r="43" spans="2:12" hidden="1" x14ac:dyDescent="0.25">
      <c r="B43" s="257">
        <v>11</v>
      </c>
      <c r="C43" s="258">
        <f t="shared" si="1"/>
        <v>5.2547326731482435E-2</v>
      </c>
      <c r="D43" s="258">
        <f t="shared" si="2"/>
        <v>0</v>
      </c>
      <c r="E43" s="258">
        <f>0</f>
        <v>0</v>
      </c>
      <c r="F43" s="258">
        <f>C43*I30+D43*J30+E43*K30</f>
        <v>4.8922685745538964E-2</v>
      </c>
      <c r="G43" s="258">
        <f>((C43*(1-I30))-(D43*J30)+(E43*(1-K30)))*F30*G30</f>
        <v>2.4164273239623123E-3</v>
      </c>
      <c r="H43" s="261">
        <f t="shared" ref="H43:H74" si="5">0.95*0.9977</f>
        <v>0.94781499999999996</v>
      </c>
      <c r="I43" s="258">
        <f>G43*(1-H43)*(1-E30)</f>
        <v>1.1349113391087601E-4</v>
      </c>
      <c r="J43" s="261">
        <f t="shared" si="4"/>
        <v>0.79816000000000009</v>
      </c>
      <c r="K43" s="258">
        <f>G43*(1-J43)*(1-E30)</f>
        <v>4.3895852196169764E-4</v>
      </c>
      <c r="L43" s="171"/>
    </row>
    <row r="44" spans="2:12" hidden="1" x14ac:dyDescent="0.25">
      <c r="B44" s="257">
        <v>12</v>
      </c>
      <c r="C44" s="258">
        <f t="shared" si="1"/>
        <v>4.8922685745538964E-2</v>
      </c>
      <c r="D44" s="258">
        <f t="shared" si="2"/>
        <v>0</v>
      </c>
      <c r="E44" s="258">
        <f>0</f>
        <v>0</v>
      </c>
      <c r="F44" s="258">
        <f>C44*I30+D44*J30+E44*K30</f>
        <v>4.5548067417153636E-2</v>
      </c>
      <c r="G44" s="258">
        <f>((C44*(1-I30))-(D44*J30)+(E44*(1-K30)))*F30*G30</f>
        <v>2.2497455522568839E-3</v>
      </c>
      <c r="H44" s="261">
        <f t="shared" si="5"/>
        <v>0.94781499999999996</v>
      </c>
      <c r="I44" s="258">
        <f>G44*(1-H44)*(1-E30)</f>
        <v>1.0566267448007301E-4</v>
      </c>
      <c r="J44" s="261">
        <f t="shared" si="4"/>
        <v>0.79816000000000009</v>
      </c>
      <c r="K44" s="258">
        <f>G44*(1-J44)*(1-E30)</f>
        <v>4.0867977804077635E-4</v>
      </c>
      <c r="L44" s="171"/>
    </row>
    <row r="45" spans="2:12" hidden="1" x14ac:dyDescent="0.25">
      <c r="B45" s="257">
        <v>13</v>
      </c>
      <c r="C45" s="258">
        <f t="shared" si="1"/>
        <v>4.5548067417153636E-2</v>
      </c>
      <c r="D45" s="258">
        <f t="shared" si="2"/>
        <v>0</v>
      </c>
      <c r="E45" s="258">
        <f>0</f>
        <v>0</v>
      </c>
      <c r="F45" s="258">
        <f>C45*I30+D45*J30+E45*K30</f>
        <v>4.240622553365743E-2</v>
      </c>
      <c r="G45" s="258">
        <f>((C45*(1-I30))-(D45*J30)+(E45*(1-K30)))*F30*G30</f>
        <v>2.0945612556641374E-3</v>
      </c>
      <c r="H45" s="261">
        <f t="shared" si="5"/>
        <v>0.94781499999999996</v>
      </c>
      <c r="I45" s="258">
        <f>G45*(1-H45)*(1-E30)</f>
        <v>9.8374211214149784E-5</v>
      </c>
      <c r="J45" s="261">
        <f t="shared" si="4"/>
        <v>0.79816000000000009</v>
      </c>
      <c r="K45" s="258">
        <f>G45*(1-J45)*(1-E30)</f>
        <v>3.8048961945892439E-4</v>
      </c>
      <c r="L45" s="171"/>
    </row>
    <row r="46" spans="2:12" hidden="1" x14ac:dyDescent="0.25">
      <c r="B46" s="257">
        <v>14</v>
      </c>
      <c r="C46" s="258">
        <f t="shared" si="1"/>
        <v>4.240622553365743E-2</v>
      </c>
      <c r="D46" s="258">
        <f t="shared" si="2"/>
        <v>0</v>
      </c>
      <c r="E46" s="258">
        <f>0</f>
        <v>0</v>
      </c>
      <c r="F46" s="258">
        <f>C46*I30+D46*J30+E46*K30</f>
        <v>3.9481103501971523E-2</v>
      </c>
      <c r="G46" s="258">
        <f>((C46*(1-I30))-(D46*J30)+(E46*(1-K30)))*F30*G30</f>
        <v>1.9500813544572721E-3</v>
      </c>
      <c r="H46" s="261">
        <f t="shared" si="5"/>
        <v>0.94781499999999996</v>
      </c>
      <c r="I46" s="258">
        <f>G46*(1-H46)*(1-E30)</f>
        <v>9.1588495934117548E-5</v>
      </c>
      <c r="J46" s="261">
        <f t="shared" si="4"/>
        <v>0.79816000000000009</v>
      </c>
      <c r="K46" s="258">
        <f>G46*(1-J46)*(1-E30)</f>
        <v>3.5424397852529006E-4</v>
      </c>
      <c r="L46" s="171"/>
    </row>
    <row r="47" spans="2:12" hidden="1" x14ac:dyDescent="0.25">
      <c r="B47" s="257">
        <v>15</v>
      </c>
      <c r="C47" s="258">
        <f t="shared" si="1"/>
        <v>3.9481103501971523E-2</v>
      </c>
      <c r="D47" s="258">
        <f t="shared" si="2"/>
        <v>0</v>
      </c>
      <c r="E47" s="258">
        <f>0</f>
        <v>0</v>
      </c>
      <c r="F47" s="258">
        <f>C47*I30+D47*J30+E47*K30</f>
        <v>3.6757752290314465E-2</v>
      </c>
      <c r="G47" s="258">
        <f>((C47*(1-I30))-(D47*J30)+(E47*(1-K30)))*F30*G30</f>
        <v>1.8155674744380409E-3</v>
      </c>
      <c r="H47" s="261">
        <f t="shared" si="5"/>
        <v>0.94781499999999996</v>
      </c>
      <c r="I47" s="258">
        <f>G47*(1-H47)*(1-E30)</f>
        <v>8.5270849788194309E-5</v>
      </c>
      <c r="J47" s="261">
        <f t="shared" si="4"/>
        <v>0.79816000000000009</v>
      </c>
      <c r="K47" s="258">
        <f>G47*(1-J47)*(1-E30)</f>
        <v>3.298087251365166E-4</v>
      </c>
      <c r="L47" s="171"/>
    </row>
    <row r="48" spans="2:12" hidden="1" x14ac:dyDescent="0.25">
      <c r="B48" s="257">
        <v>16</v>
      </c>
      <c r="C48" s="258">
        <f t="shared" si="1"/>
        <v>3.6757752290314465E-2</v>
      </c>
      <c r="D48" s="258">
        <f t="shared" si="2"/>
        <v>0</v>
      </c>
      <c r="E48" s="258">
        <f>0</f>
        <v>0</v>
      </c>
      <c r="F48" s="258">
        <f>C48*I30+D48*J30+E48*K30</f>
        <v>3.4222254030175425E-2</v>
      </c>
      <c r="G48" s="258">
        <f>((C48*(1-I30))-(D48*J30)+(E48*(1-K30)))*F30*G30</f>
        <v>1.6903321734260245E-3</v>
      </c>
      <c r="H48" s="261">
        <f t="shared" si="5"/>
        <v>0.94781499999999996</v>
      </c>
      <c r="I48" s="258">
        <f>G48*(1-H48)*(1-E30)</f>
        <v>7.9388986023213443E-5</v>
      </c>
      <c r="J48" s="261">
        <f t="shared" si="4"/>
        <v>0.79816000000000009</v>
      </c>
      <c r="K48" s="258">
        <f>G48*(1-J48)*(1-E30)</f>
        <v>3.0705898129587781E-4</v>
      </c>
      <c r="L48" s="171"/>
    </row>
    <row r="49" spans="2:12" hidden="1" x14ac:dyDescent="0.25">
      <c r="B49" s="257">
        <v>17</v>
      </c>
      <c r="C49" s="258">
        <f t="shared" si="1"/>
        <v>3.4222254030175425E-2</v>
      </c>
      <c r="D49" s="258">
        <f t="shared" si="2"/>
        <v>0</v>
      </c>
      <c r="E49" s="258">
        <f>0</f>
        <v>0</v>
      </c>
      <c r="F49" s="258">
        <f>C49*I30+D49*J30+E49*K30</f>
        <v>3.1861650888116336E-2</v>
      </c>
      <c r="G49" s="258">
        <f>((C49*(1-I30))-(D49*J30)+(E49*(1-K30)))*F30*G30</f>
        <v>1.5737354280393912E-3</v>
      </c>
      <c r="H49" s="261">
        <f t="shared" si="5"/>
        <v>0.94781499999999996</v>
      </c>
      <c r="I49" s="258">
        <f>G49*(1-H49)*(1-E30)</f>
        <v>7.3912844981012128E-5</v>
      </c>
      <c r="J49" s="261">
        <f t="shared" si="4"/>
        <v>0.79816000000000009</v>
      </c>
      <c r="K49" s="258">
        <f>G49*(1-J49)*(1-E30)</f>
        <v>2.8587848291592349E-4</v>
      </c>
      <c r="L49" s="171"/>
    </row>
    <row r="50" spans="2:12" hidden="1" x14ac:dyDescent="0.25">
      <c r="B50" s="257">
        <v>18</v>
      </c>
      <c r="C50" s="258">
        <f t="shared" si="1"/>
        <v>3.1861650888116336E-2</v>
      </c>
      <c r="D50" s="258">
        <f t="shared" si="2"/>
        <v>0</v>
      </c>
      <c r="E50" s="258">
        <f>0</f>
        <v>0</v>
      </c>
      <c r="F50" s="258">
        <f>C50*I30+D50*J30+E50*K30</f>
        <v>2.9663878843897436E-2</v>
      </c>
      <c r="G50" s="258">
        <f>((C50*(1-I30))-(D50*J30)+(E50*(1-K30)))*F30*G30</f>
        <v>1.4651813628125997E-3</v>
      </c>
      <c r="H50" s="261">
        <f t="shared" si="5"/>
        <v>0.94781499999999996</v>
      </c>
      <c r="I50" s="258">
        <f>G50*(1-H50)*(1-E30)</f>
        <v>6.8814440476538025E-5</v>
      </c>
      <c r="J50" s="261">
        <f t="shared" si="4"/>
        <v>0.79816000000000009</v>
      </c>
      <c r="K50" s="258">
        <f>G50*(1-J50)*(1-E30)</f>
        <v>2.661589856430855E-4</v>
      </c>
      <c r="L50" s="171"/>
    </row>
    <row r="51" spans="2:12" hidden="1" x14ac:dyDescent="0.25">
      <c r="B51" s="257">
        <v>19</v>
      </c>
      <c r="C51" s="258">
        <f t="shared" si="1"/>
        <v>2.9663878843897436E-2</v>
      </c>
      <c r="D51" s="258">
        <f>E50</f>
        <v>0</v>
      </c>
      <c r="E51" s="258">
        <f>0</f>
        <v>0</v>
      </c>
      <c r="F51" s="258">
        <f>C51*I30+D51*J30+E51*K30</f>
        <v>2.7617706036494973E-2</v>
      </c>
      <c r="G51" s="258">
        <f>((C51*(1-I30))-(D51*J30)+(E51*(1-K30)))*F30*G30</f>
        <v>1.3641152049349763E-3</v>
      </c>
      <c r="H51" s="261">
        <f t="shared" si="5"/>
        <v>0.94781499999999996</v>
      </c>
      <c r="I51" s="258">
        <f>G51*(1-H51)*(1-E30)</f>
        <v>6.4067716772578609E-5</v>
      </c>
      <c r="J51" s="261">
        <f t="shared" si="4"/>
        <v>0.79816000000000009</v>
      </c>
      <c r="K51" s="258">
        <f>G51*(1-J51)*(1-E30)</f>
        <v>2.4779971166766798E-4</v>
      </c>
      <c r="L51" s="171"/>
    </row>
    <row r="52" spans="2:12" hidden="1" x14ac:dyDescent="0.25">
      <c r="B52" s="257">
        <v>20</v>
      </c>
      <c r="C52" s="258">
        <f t="shared" si="1"/>
        <v>2.7617706036494973E-2</v>
      </c>
      <c r="D52" s="258">
        <f t="shared" si="2"/>
        <v>0</v>
      </c>
      <c r="E52" s="258">
        <f>0</f>
        <v>0</v>
      </c>
      <c r="F52" s="258">
        <f>C52*I30+D52*J30+E52*K30</f>
        <v>2.5712675362924226E-2</v>
      </c>
      <c r="G52" s="258">
        <f>((C52*(1-I30))-(D52*J30)+(E52*(1-K30)))*F30*G30</f>
        <v>1.2700204490471636E-3</v>
      </c>
      <c r="H52" s="261">
        <f t="shared" si="5"/>
        <v>0.94781499999999996</v>
      </c>
      <c r="I52" s="258">
        <f>G52*(1-H52)*(1-E30)</f>
        <v>5.9648415420173645E-5</v>
      </c>
      <c r="J52" s="261">
        <f t="shared" si="4"/>
        <v>0.79816000000000009</v>
      </c>
      <c r="K52" s="258">
        <f>G52*(1-J52)*(1-E30)</f>
        <v>2.3070683469211145E-4</v>
      </c>
      <c r="L52" s="171"/>
    </row>
    <row r="53" spans="2:12" hidden="1" x14ac:dyDescent="0.25">
      <c r="B53" s="257">
        <v>21</v>
      </c>
      <c r="C53" s="258">
        <f t="shared" si="1"/>
        <v>2.5712675362924226E-2</v>
      </c>
      <c r="D53" s="258">
        <f t="shared" si="2"/>
        <v>0</v>
      </c>
      <c r="E53" s="258">
        <f>0</f>
        <v>0</v>
      </c>
      <c r="F53" s="258">
        <f>C53*I30+D53*J30+E53*K30</f>
        <v>2.3939051036515325E-2</v>
      </c>
      <c r="G53" s="258">
        <f>((C53*(1-I30))-(D53*J30)+(E53*(1-K30)))*F30*G30</f>
        <v>1.1824162176059343E-3</v>
      </c>
      <c r="H53" s="261">
        <f t="shared" si="5"/>
        <v>0.94781499999999996</v>
      </c>
      <c r="I53" s="258">
        <f>G53*(1-H53)*(1-E30)</f>
        <v>5.5533951284189156E-5</v>
      </c>
      <c r="J53" s="261">
        <f t="shared" si="4"/>
        <v>0.79816000000000009</v>
      </c>
      <c r="K53" s="258">
        <f>G53*(1-J53)*(1-E30)</f>
        <v>2.1479300042542349E-4</v>
      </c>
      <c r="L53" s="171"/>
    </row>
    <row r="54" spans="2:12" hidden="1" x14ac:dyDescent="0.25">
      <c r="B54" s="257">
        <v>22</v>
      </c>
      <c r="C54" s="258">
        <f t="shared" si="1"/>
        <v>2.3939051036515325E-2</v>
      </c>
      <c r="D54" s="258">
        <f t="shared" si="2"/>
        <v>0</v>
      </c>
      <c r="E54" s="258">
        <f>0</f>
        <v>0</v>
      </c>
      <c r="F54" s="258">
        <f>C54*I30+D54*J30+E54*K30</f>
        <v>2.2287768831524304E-2</v>
      </c>
      <c r="G54" s="258">
        <f>((C54*(1-I30))-(D54*J30)+(E54*(1-K30)))*F30*G30</f>
        <v>1.100854803327347E-3</v>
      </c>
      <c r="H54" s="261">
        <f t="shared" si="5"/>
        <v>0.94781499999999996</v>
      </c>
      <c r="I54" s="258">
        <f>G54*(1-H54)*(1-E30)</f>
        <v>5.1703297120473878E-5</v>
      </c>
      <c r="J54" s="261">
        <f t="shared" si="4"/>
        <v>0.79816000000000009</v>
      </c>
      <c r="K54" s="258">
        <f>G54*(1-J54)*(1-E30)</f>
        <v>1.9997688015323245E-4</v>
      </c>
      <c r="L54" s="171"/>
    </row>
    <row r="55" spans="2:12" hidden="1" x14ac:dyDescent="0.25">
      <c r="B55" s="257">
        <v>23</v>
      </c>
      <c r="C55" s="258">
        <f t="shared" si="1"/>
        <v>2.2287768831524304E-2</v>
      </c>
      <c r="D55" s="258">
        <f t="shared" si="2"/>
        <v>0</v>
      </c>
      <c r="E55" s="258">
        <f>0</f>
        <v>0</v>
      </c>
      <c r="F55" s="258">
        <f>C55*I30+D55*J30+E55*K30</f>
        <v>2.0750389759801213E-2</v>
      </c>
      <c r="G55" s="258">
        <f>((C55*(1-I30))-(D55*J30)+(E55*(1-K30)))*F30*G30</f>
        <v>1.0249193811487263E-3</v>
      </c>
      <c r="H55" s="261">
        <f t="shared" si="5"/>
        <v>0.94781499999999996</v>
      </c>
      <c r="I55" s="258">
        <f>G55*(1-H55)*(1-E30)</f>
        <v>4.8136876114721686E-5</v>
      </c>
      <c r="J55" s="261">
        <f t="shared" si="4"/>
        <v>0.79816000000000009</v>
      </c>
      <c r="K55" s="258">
        <f>G55*(1-J55)*(1-E30)</f>
        <v>1.8618275510195296E-4</v>
      </c>
      <c r="L55" s="171"/>
    </row>
    <row r="56" spans="2:12" hidden="1" x14ac:dyDescent="0.25">
      <c r="B56" s="257">
        <v>24</v>
      </c>
      <c r="C56" s="258">
        <f t="shared" si="1"/>
        <v>2.0750389759801213E-2</v>
      </c>
      <c r="D56" s="258">
        <f t="shared" si="2"/>
        <v>0</v>
      </c>
      <c r="E56" s="258">
        <f>0</f>
        <v>0</v>
      </c>
      <c r="F56" s="258">
        <f>C56*I30+D56*J30+E56*K30</f>
        <v>1.9319056942776761E-2</v>
      </c>
      <c r="G56" s="258">
        <f>((C56*(1-I30))-(D56*J30)+(E56*(1-K30)))*F30*G30</f>
        <v>9.5422187801630213E-4</v>
      </c>
      <c r="H56" s="261">
        <f t="shared" si="5"/>
        <v>0.94781499999999996</v>
      </c>
      <c r="I56" s="258">
        <f>G56*(1-H56)*(1-E30)</f>
        <v>4.4816461833852688E-5</v>
      </c>
      <c r="J56" s="261">
        <f t="shared" si="4"/>
        <v>0.79816000000000009</v>
      </c>
      <c r="K56" s="258">
        <f>G56*(1-J56)*(1-E30)</f>
        <v>1.733401294729293E-4</v>
      </c>
      <c r="L56" s="171"/>
    </row>
    <row r="57" spans="2:12" hidden="1" x14ac:dyDescent="0.25">
      <c r="B57" s="257">
        <v>25</v>
      </c>
      <c r="C57" s="258">
        <f t="shared" si="1"/>
        <v>1.9319056942776761E-2</v>
      </c>
      <c r="D57" s="258">
        <f t="shared" si="2"/>
        <v>0</v>
      </c>
      <c r="E57" s="258">
        <f>0</f>
        <v>0</v>
      </c>
      <c r="F57" s="258">
        <f>C57*I30+D57*J30+E57*K30</f>
        <v>1.7986455458358891E-2</v>
      </c>
      <c r="G57" s="258">
        <f>((C57*(1-I30))-(D57*J30)+(E57*(1-K30)))*F30*G30</f>
        <v>8.8840098961191392E-4</v>
      </c>
      <c r="H57" s="261">
        <f t="shared" si="5"/>
        <v>0.94781499999999996</v>
      </c>
      <c r="I57" s="258">
        <f>G57*(1-H57)*(1-E30)</f>
        <v>4.1725085078607988E-5</v>
      </c>
      <c r="J57" s="261">
        <f t="shared" si="4"/>
        <v>0.79816000000000009</v>
      </c>
      <c r="K57" s="258">
        <f>G57*(1-J57)*(1-E30)</f>
        <v>1.6138337016894175E-4</v>
      </c>
      <c r="L57" s="171"/>
    </row>
    <row r="58" spans="2:12" hidden="1" x14ac:dyDescent="0.25">
      <c r="B58" s="257">
        <v>26</v>
      </c>
      <c r="C58" s="258">
        <f t="shared" si="1"/>
        <v>1.7986455458358891E-2</v>
      </c>
      <c r="D58" s="258">
        <f t="shared" si="2"/>
        <v>0</v>
      </c>
      <c r="E58" s="258">
        <f>0</f>
        <v>0</v>
      </c>
      <c r="F58" s="258">
        <f>C58*I30+D58*J30+E58*K30</f>
        <v>1.6745774957534199E-2</v>
      </c>
      <c r="G58" s="258">
        <f>((C58*(1-I30))-(D58*J30)+(E58*(1-K30)))*F30*G30</f>
        <v>8.2712033388312664E-4</v>
      </c>
      <c r="H58" s="261">
        <f t="shared" si="5"/>
        <v>0.94781499999999996</v>
      </c>
      <c r="I58" s="258">
        <f>G58*(1-H58)*(1-E30)</f>
        <v>3.8846947161321895E-5</v>
      </c>
      <c r="J58" s="261">
        <f t="shared" si="4"/>
        <v>0.79816000000000009</v>
      </c>
      <c r="K58" s="258">
        <f>G58*(1-J58)*(1-E30)</f>
        <v>1.502513713718732E-4</v>
      </c>
      <c r="L58" s="171"/>
    </row>
    <row r="59" spans="2:12" hidden="1" x14ac:dyDescent="0.25">
      <c r="B59" s="257">
        <v>27</v>
      </c>
      <c r="C59" s="258">
        <f t="shared" si="1"/>
        <v>1.6745774957534199E-2</v>
      </c>
      <c r="D59" s="258">
        <f t="shared" si="2"/>
        <v>0</v>
      </c>
      <c r="E59" s="258">
        <f>0</f>
        <v>0</v>
      </c>
      <c r="F59" s="258">
        <f>C59*I30+D59*J30+E59*K30</f>
        <v>1.5590674859623817E-2</v>
      </c>
      <c r="G59" s="258">
        <f>((C59*(1-I30))-(D59*J30)+(E59*(1-K30)))*F30*G30</f>
        <v>7.7006673194025474E-4</v>
      </c>
      <c r="H59" s="261">
        <f t="shared" si="5"/>
        <v>0.94781499999999996</v>
      </c>
      <c r="I59" s="258">
        <f>G59*(1-H59)*(1-E30)</f>
        <v>3.6167339165672003E-5</v>
      </c>
      <c r="J59" s="261">
        <f t="shared" si="4"/>
        <v>0.79816000000000009</v>
      </c>
      <c r="K59" s="258">
        <f>G59*(1-J59)*(1-E30)</f>
        <v>1.3988724225733883E-4</v>
      </c>
      <c r="L59" s="171"/>
    </row>
    <row r="60" spans="2:12" hidden="1" x14ac:dyDescent="0.25">
      <c r="B60" s="257">
        <v>28</v>
      </c>
      <c r="C60" s="258">
        <f t="shared" si="1"/>
        <v>1.5590674859623817E-2</v>
      </c>
      <c r="D60" s="258">
        <f t="shared" si="2"/>
        <v>0</v>
      </c>
      <c r="E60" s="258">
        <f>0</f>
        <v>0</v>
      </c>
      <c r="F60" s="258">
        <f>C60*I30+D60*J30+E60*K30</f>
        <v>1.4515251948321766E-2</v>
      </c>
      <c r="G60" s="258">
        <f>((C60*(1-I30))-(D60*J30)+(E60*(1-K30)))*F30*G30</f>
        <v>7.1694860753470052E-4</v>
      </c>
      <c r="H60" s="261">
        <f t="shared" si="5"/>
        <v>0.94781499999999996</v>
      </c>
      <c r="I60" s="258">
        <f>G60*(1-H60)*(1-E30)</f>
        <v>3.3672566775778537E-5</v>
      </c>
      <c r="J60" s="261">
        <f t="shared" si="4"/>
        <v>0.79816000000000009</v>
      </c>
      <c r="K60" s="258">
        <f>G60*(1-J60)*(1-E30)</f>
        <v>1.3023801625032351E-4</v>
      </c>
      <c r="L60" s="171"/>
    </row>
    <row r="61" spans="2:12" hidden="1" x14ac:dyDescent="0.25">
      <c r="B61" s="257">
        <v>29</v>
      </c>
      <c r="C61" s="258">
        <f t="shared" si="1"/>
        <v>1.4515251948321766E-2</v>
      </c>
      <c r="D61" s="258">
        <f t="shared" si="2"/>
        <v>0</v>
      </c>
      <c r="E61" s="258">
        <f>0</f>
        <v>0</v>
      </c>
      <c r="F61" s="258">
        <f>C61*I30+D61*J30+E61*K30</f>
        <v>1.3514010202913216E-2</v>
      </c>
      <c r="G61" s="258">
        <f>((C61*(1-I30))-(D61*J30)+(E61*(1-K30)))*F30*G30</f>
        <v>6.6749449693903368E-4</v>
      </c>
      <c r="H61" s="261">
        <f t="shared" si="5"/>
        <v>0.94781499999999996</v>
      </c>
      <c r="I61" s="258">
        <f>G61*(1-H61)*(1-E30)</f>
        <v>3.1349880290487145E-5</v>
      </c>
      <c r="J61" s="261">
        <f t="shared" si="4"/>
        <v>0.79816000000000009</v>
      </c>
      <c r="K61" s="258">
        <f>G61*(1-J61)*(1-E30)</f>
        <v>1.2125438033595704E-4</v>
      </c>
      <c r="L61" s="171"/>
    </row>
    <row r="62" spans="2:12" hidden="1" x14ac:dyDescent="0.25">
      <c r="B62" s="257">
        <v>30</v>
      </c>
      <c r="C62" s="258">
        <f t="shared" si="1"/>
        <v>1.3514010202913216E-2</v>
      </c>
      <c r="D62" s="258">
        <f t="shared" si="2"/>
        <v>0</v>
      </c>
      <c r="E62" s="258">
        <f>0</f>
        <v>0</v>
      </c>
      <c r="F62" s="258">
        <f>C62*I30+D62*J30+E62*K30</f>
        <v>1.258183271049303E-2</v>
      </c>
      <c r="G62" s="258">
        <f>((C62*(1-I30))-(D62*J30)+(E62*(1-K30)))*F30*G30</f>
        <v>6.2145166161345659E-4</v>
      </c>
      <c r="H62" s="261">
        <f t="shared" si="5"/>
        <v>0.94781499999999996</v>
      </c>
      <c r="I62" s="258">
        <f>G62*(1-H62)*(1-E30)</f>
        <v>2.918740946516843E-5</v>
      </c>
      <c r="J62" s="261">
        <f t="shared" si="4"/>
        <v>0.79816000000000009</v>
      </c>
      <c r="K62" s="258">
        <f>G62*(1-J62)*(1-E30)</f>
        <v>1.1289042304205404E-4</v>
      </c>
      <c r="L62" s="171"/>
    </row>
    <row r="63" spans="2:12" hidden="1" x14ac:dyDescent="0.25">
      <c r="B63" s="257">
        <v>31</v>
      </c>
      <c r="C63" s="258">
        <f t="shared" si="1"/>
        <v>1.258183271049303E-2</v>
      </c>
      <c r="D63" s="258">
        <f t="shared" si="2"/>
        <v>0</v>
      </c>
      <c r="E63" s="258">
        <f>0</f>
        <v>0</v>
      </c>
      <c r="F63" s="258">
        <f>C63*I30+D63*J30+E63*K30</f>
        <v>1.171395551564014E-2</v>
      </c>
      <c r="G63" s="258">
        <f>((C63*(1-I30))-(D63*J30)+(E63*(1-K30)))*F30*G30</f>
        <v>5.7858479656859303E-4</v>
      </c>
      <c r="H63" s="261">
        <f t="shared" si="5"/>
        <v>0.94781499999999996</v>
      </c>
      <c r="I63" s="258">
        <f>G63*(1-H63)*(1-E30)</f>
        <v>2.7174102848038846E-5</v>
      </c>
      <c r="J63" s="261">
        <f t="shared" si="4"/>
        <v>0.79816000000000009</v>
      </c>
      <c r="K63" s="258">
        <f>G63*(1-J63)*(1-E30)</f>
        <v>1.051033998054643E-4</v>
      </c>
      <c r="L63" s="171"/>
    </row>
    <row r="64" spans="2:12" hidden="1" x14ac:dyDescent="0.25">
      <c r="B64" s="257">
        <v>32</v>
      </c>
      <c r="C64" s="258">
        <f t="shared" si="1"/>
        <v>1.171395551564014E-2</v>
      </c>
      <c r="D64" s="258">
        <f t="shared" si="2"/>
        <v>0</v>
      </c>
      <c r="E64" s="258">
        <f>0</f>
        <v>0</v>
      </c>
      <c r="F64" s="258">
        <f>C64*I30+D64*J30+E64*K30</f>
        <v>1.0905943273904737E-2</v>
      </c>
      <c r="G64" s="258">
        <f>((C64*(1-I30))-(D64*J30)+(E64*(1-K30)))*F30*G30</f>
        <v>5.3867482782360215E-4</v>
      </c>
      <c r="H64" s="261">
        <f t="shared" si="5"/>
        <v>0.94781499999999996</v>
      </c>
      <c r="I64" s="258">
        <f>G64*(1-H64)*(1-E30)</f>
        <v>2.5299671300977229E-5</v>
      </c>
      <c r="J64" s="261">
        <f t="shared" si="4"/>
        <v>0.79816000000000009</v>
      </c>
      <c r="K64" s="258">
        <f>G64*(1-J64)*(1-E30)</f>
        <v>9.7853514523124234E-5</v>
      </c>
      <c r="L64" s="171"/>
    </row>
    <row r="65" spans="2:12" hidden="1" x14ac:dyDescent="0.25">
      <c r="B65" s="257">
        <v>33</v>
      </c>
      <c r="C65" s="258">
        <f t="shared" si="1"/>
        <v>1.0905943273904737E-2</v>
      </c>
      <c r="D65" s="258">
        <f t="shared" si="2"/>
        <v>0</v>
      </c>
      <c r="E65" s="258">
        <f>0</f>
        <v>0</v>
      </c>
      <c r="F65" s="258">
        <f>C65*I30+D65*J30+E65*K30</f>
        <v>1.0153666584683816E-2</v>
      </c>
      <c r="G65" s="258">
        <f>((C65*(1-I30))-(D65*J30)+(E65*(1-K30)))*F30*G30</f>
        <v>5.0151779281394724E-4</v>
      </c>
      <c r="H65" s="261">
        <f t="shared" si="5"/>
        <v>0.94781499999999996</v>
      </c>
      <c r="I65" s="258">
        <f>G65*(1-H65)*(1-E30)</f>
        <v>2.3554535416196268E-5</v>
      </c>
      <c r="J65" s="261">
        <f t="shared" si="4"/>
        <v>0.79816000000000009</v>
      </c>
      <c r="K65" s="258">
        <f>G65*(1-J65)*(1-E30)</f>
        <v>9.1103716171410368E-5</v>
      </c>
      <c r="L65" s="171"/>
    </row>
    <row r="66" spans="2:12" hidden="1" x14ac:dyDescent="0.25">
      <c r="B66" s="257">
        <v>34</v>
      </c>
      <c r="C66" s="258">
        <f t="shared" ref="C66:C97" si="6">F65</f>
        <v>1.0153666584683816E-2</v>
      </c>
      <c r="D66" s="258">
        <f t="shared" ref="D66:D97" si="7">E65</f>
        <v>0</v>
      </c>
      <c r="E66" s="258">
        <f>0</f>
        <v>0</v>
      </c>
      <c r="F66" s="258">
        <f>C66*I30+D66*J30+E66*K30</f>
        <v>9.4532808876432138E-3</v>
      </c>
      <c r="G66" s="258">
        <f>((C66*(1-I30))-(D66*J30)+(E66*(1-K30)))*F30*G30</f>
        <v>4.6692379802706809E-4</v>
      </c>
      <c r="H66" s="261">
        <f t="shared" si="5"/>
        <v>0.94781499999999996</v>
      </c>
      <c r="I66" s="258">
        <f>G66*(1-H66)*(1-E30)</f>
        <v>2.1929776560038309E-5</v>
      </c>
      <c r="J66" s="261">
        <f t="shared" si="4"/>
        <v>0.79816000000000009</v>
      </c>
      <c r="K66" s="258">
        <f>G66*(1-J66)*(1-E30)</f>
        <v>8.4819509454405042E-5</v>
      </c>
      <c r="L66" s="171"/>
    </row>
    <row r="67" spans="2:12" hidden="1" x14ac:dyDescent="0.25">
      <c r="B67" s="257">
        <v>35</v>
      </c>
      <c r="C67" s="258">
        <f t="shared" si="6"/>
        <v>9.4532808876432138E-3</v>
      </c>
      <c r="D67" s="258">
        <f t="shared" si="7"/>
        <v>0</v>
      </c>
      <c r="E67" s="258">
        <f>0</f>
        <v>0</v>
      </c>
      <c r="F67" s="258">
        <f>C67*I30+D67*J30+E67*K30</f>
        <v>8.801206814834886E-3</v>
      </c>
      <c r="G67" s="258">
        <f>((C67*(1-I30))-(D67*J30)+(E67*(1-K30)))*F30*G30</f>
        <v>4.3471604853888491E-4</v>
      </c>
      <c r="H67" s="261">
        <f t="shared" si="5"/>
        <v>0.94781499999999996</v>
      </c>
      <c r="I67" s="258">
        <f>G67*(1-H67)*(1-E30)</f>
        <v>2.0417091293701556E-5</v>
      </c>
      <c r="J67" s="261">
        <f t="shared" si="4"/>
        <v>0.79816000000000009</v>
      </c>
      <c r="K67" s="258">
        <f>G67*(1-J67)*(1-E30)</f>
        <v>7.8968778513379637E-5</v>
      </c>
      <c r="L67" s="171"/>
    </row>
    <row r="68" spans="2:12" hidden="1" x14ac:dyDescent="0.25">
      <c r="B68" s="257">
        <v>36</v>
      </c>
      <c r="C68" s="258">
        <f t="shared" si="6"/>
        <v>8.801206814834886E-3</v>
      </c>
      <c r="D68" s="258">
        <f t="shared" si="7"/>
        <v>0</v>
      </c>
      <c r="E68" s="258">
        <f>0</f>
        <v>0</v>
      </c>
      <c r="F68" s="258">
        <f>C68*I30+D68*J30+E68*K30</f>
        <v>8.1941118980976158E-3</v>
      </c>
      <c r="G68" s="258">
        <f>((C68*(1-I30))-(D68*J30)+(E68*(1-K30)))*F30*G30</f>
        <v>4.0472994449151386E-4</v>
      </c>
      <c r="H68" s="261">
        <f t="shared" si="5"/>
        <v>0.94781499999999996</v>
      </c>
      <c r="I68" s="258">
        <f>G68*(1-H68)*(1-E30)</f>
        <v>1.9008748937960702E-5</v>
      </c>
      <c r="J68" s="261">
        <f t="shared" si="4"/>
        <v>0.79816000000000009</v>
      </c>
      <c r="K68" s="258">
        <f>G68*(1-J68)*(1-E30)</f>
        <v>7.3521622796550405E-5</v>
      </c>
      <c r="L68" s="171"/>
    </row>
    <row r="69" spans="2:12" hidden="1" x14ac:dyDescent="0.25">
      <c r="B69" s="257">
        <v>37</v>
      </c>
      <c r="C69" s="258">
        <f t="shared" si="6"/>
        <v>8.1941118980976158E-3</v>
      </c>
      <c r="D69" s="258">
        <f t="shared" si="7"/>
        <v>0</v>
      </c>
      <c r="E69" s="258">
        <f>0</f>
        <v>0</v>
      </c>
      <c r="F69" s="258">
        <f>C69*I30+D69*J30+E69*K30</f>
        <v>7.628893538255588E-3</v>
      </c>
      <c r="G69" s="258">
        <f>((C69*(1-I30))-(D69*J30)+(E69*(1-K30)))*F30*G30</f>
        <v>3.768122398946852E-4</v>
      </c>
      <c r="H69" s="261">
        <f t="shared" si="5"/>
        <v>0.94781499999999996</v>
      </c>
      <c r="I69" s="258">
        <f>G69*(1-H69)*(1-E30)</f>
        <v>1.7697552065013743E-5</v>
      </c>
      <c r="J69" s="261">
        <f t="shared" si="4"/>
        <v>0.79816000000000009</v>
      </c>
      <c r="K69" s="258">
        <f>G69*(1-J69)*(1-E30)</f>
        <v>6.845020425030891E-5</v>
      </c>
      <c r="L69" s="171"/>
    </row>
    <row r="70" spans="2:12" hidden="1" x14ac:dyDescent="0.25">
      <c r="B70" s="257">
        <v>38</v>
      </c>
      <c r="C70" s="258">
        <f t="shared" si="6"/>
        <v>7.628893538255588E-3</v>
      </c>
      <c r="D70" s="258">
        <f t="shared" si="7"/>
        <v>0</v>
      </c>
      <c r="E70" s="258">
        <f>0</f>
        <v>0</v>
      </c>
      <c r="F70" s="258">
        <f>C70*I30+D70*J30+E70*K30</f>
        <v>7.1026631490777982E-3</v>
      </c>
      <c r="G70" s="258">
        <f>((C70*(1-I30))-(D70*J30)+(E70*(1-K30)))*F30*G30</f>
        <v>3.5082025945185996E-4</v>
      </c>
      <c r="H70" s="261">
        <f t="shared" si="5"/>
        <v>0.94781499999999996</v>
      </c>
      <c r="I70" s="258">
        <f>G70*(1-H70)*(1-E30)</f>
        <v>1.6476799715545792E-5</v>
      </c>
      <c r="J70" s="261">
        <f t="shared" ref="J70:J92" si="8">0.8*0.9977</f>
        <v>0.79816000000000009</v>
      </c>
      <c r="K70" s="258">
        <f>G70*(1-J70)*(1-E30)</f>
        <v>6.3728605050987052E-5</v>
      </c>
      <c r="L70" s="171"/>
    </row>
    <row r="71" spans="2:12" hidden="1" x14ac:dyDescent="0.25">
      <c r="B71" s="257">
        <v>39</v>
      </c>
      <c r="C71" s="258">
        <f t="shared" si="6"/>
        <v>7.1026631490777982E-3</v>
      </c>
      <c r="D71" s="258">
        <f t="shared" si="7"/>
        <v>0</v>
      </c>
      <c r="E71" s="258">
        <f>0</f>
        <v>0</v>
      </c>
      <c r="F71" s="258">
        <f>C71*I30+D71*J30+E71*K30</f>
        <v>6.6127313949649203E-3</v>
      </c>
      <c r="G71" s="258">
        <f>((C71*(1-I30))-(D71*J30)+(E71*(1-K30)))*F30*G30</f>
        <v>3.2662116940858506E-4</v>
      </c>
      <c r="H71" s="261">
        <f t="shared" si="5"/>
        <v>0.94781499999999996</v>
      </c>
      <c r="I71" s="258">
        <f>G71*(1-H71)*(1-E30)</f>
        <v>1.5340253153028324E-5</v>
      </c>
      <c r="J71" s="261">
        <f t="shared" si="8"/>
        <v>0.79816000000000009</v>
      </c>
      <c r="K71" s="258">
        <f>G71*(1-J71)*(1-E30)</f>
        <v>5.9332695150085905E-5</v>
      </c>
      <c r="L71" s="171"/>
    </row>
    <row r="72" spans="2:12" hidden="1" x14ac:dyDescent="0.25">
      <c r="B72" s="257">
        <v>40</v>
      </c>
      <c r="C72" s="258">
        <f t="shared" si="6"/>
        <v>6.6127313949649203E-3</v>
      </c>
      <c r="D72" s="258">
        <f t="shared" si="7"/>
        <v>0</v>
      </c>
      <c r="E72" s="258">
        <f>0</f>
        <v>0</v>
      </c>
      <c r="F72" s="258">
        <f>C72*I30+D72*J30+E72*K30</f>
        <v>6.156594446919861E-3</v>
      </c>
      <c r="G72" s="258">
        <f>((C72*(1-I30))-(D72*J30)+(E72*(1-K30)))*F30*G30</f>
        <v>3.0409129869670641E-4</v>
      </c>
      <c r="H72" s="261">
        <f t="shared" si="5"/>
        <v>0.94781499999999996</v>
      </c>
      <c r="I72" s="258">
        <f>G72*(1-H72)*(1-E30)</f>
        <v>1.4282103980238871E-5</v>
      </c>
      <c r="J72" s="261">
        <f t="shared" si="8"/>
        <v>0.79816000000000009</v>
      </c>
      <c r="K72" s="258">
        <f>G72*(1-J72)*(1-E30)</f>
        <v>5.5240008956048881E-5</v>
      </c>
      <c r="L72" s="171"/>
    </row>
    <row r="73" spans="2:12" hidden="1" x14ac:dyDescent="0.25">
      <c r="B73" s="257">
        <v>41</v>
      </c>
      <c r="C73" s="258">
        <f t="shared" si="6"/>
        <v>6.156594446919861E-3</v>
      </c>
      <c r="D73" s="258">
        <f t="shared" si="7"/>
        <v>0</v>
      </c>
      <c r="E73" s="258">
        <f>0</f>
        <v>0</v>
      </c>
      <c r="F73" s="258">
        <f>C73*I30+D73*J30+E73*K30</f>
        <v>5.7319211865622041E-3</v>
      </c>
      <c r="G73" s="258">
        <f>((C73*(1-I30))-(D73*J30)+(E73*(1-K30)))*F30*G30</f>
        <v>2.8311550690510439E-4</v>
      </c>
      <c r="H73" s="261">
        <f t="shared" si="5"/>
        <v>0.94781499999999996</v>
      </c>
      <c r="I73" s="258">
        <f>G73*(1-H73)*(1-E30)</f>
        <v>1.3296944455058595E-5</v>
      </c>
      <c r="J73" s="261">
        <f t="shared" si="8"/>
        <v>0.79816000000000009</v>
      </c>
      <c r="K73" s="258">
        <f>G73*(1-J73)*(1-E30)</f>
        <v>5.1429630522353619E-5</v>
      </c>
      <c r="L73" s="171"/>
    </row>
    <row r="74" spans="2:12" hidden="1" x14ac:dyDescent="0.25">
      <c r="B74" s="257">
        <v>42</v>
      </c>
      <c r="C74" s="258">
        <f t="shared" si="6"/>
        <v>5.7319211865622041E-3</v>
      </c>
      <c r="D74" s="258">
        <f t="shared" si="7"/>
        <v>0</v>
      </c>
      <c r="E74" s="258">
        <f>0</f>
        <v>0</v>
      </c>
      <c r="F74" s="258">
        <f>C74*I30+D74*J30+E74*K30</f>
        <v>5.3365412927918222E-3</v>
      </c>
      <c r="G74" s="258">
        <f>((C74*(1-I30))-(D74*J30)+(E74*(1-K30)))*F30*G30</f>
        <v>2.6358659584692134E-4</v>
      </c>
      <c r="H74" s="261">
        <f t="shared" si="5"/>
        <v>0.94781499999999996</v>
      </c>
      <c r="I74" s="258">
        <f>G74*(1-H74)*(1-E30)</f>
        <v>1.237973985384444E-5</v>
      </c>
      <c r="J74" s="261">
        <f t="shared" si="8"/>
        <v>0.79816000000000009</v>
      </c>
      <c r="K74" s="258">
        <f>G74*(1-J74)*(1-E30)</f>
        <v>4.7882086655168325E-5</v>
      </c>
      <c r="L74" s="171"/>
    </row>
    <row r="75" spans="2:12" hidden="1" x14ac:dyDescent="0.25">
      <c r="B75" s="257">
        <v>43</v>
      </c>
      <c r="C75" s="258">
        <f t="shared" si="6"/>
        <v>5.3365412927918222E-3</v>
      </c>
      <c r="D75" s="258">
        <f t="shared" si="7"/>
        <v>0</v>
      </c>
      <c r="E75" s="258">
        <f>0</f>
        <v>0</v>
      </c>
      <c r="F75" s="258">
        <f>C75*I30+D75*J30+E75*K30</f>
        <v>4.9684341502177348E-3</v>
      </c>
      <c r="G75" s="258">
        <f>((C75*(1-I30))-(D75*J30)+(E75*(1-K30)))*F30*G30</f>
        <v>2.4540476171605857E-4</v>
      </c>
      <c r="H75" s="261">
        <f t="shared" ref="H75:H106" si="9">0.95*0.9977</f>
        <v>0.94781499999999996</v>
      </c>
      <c r="I75" s="258">
        <f>G75*(1-H75)*(1-E30)</f>
        <v>1.1525802741137272E-5</v>
      </c>
      <c r="J75" s="261">
        <f t="shared" si="8"/>
        <v>0.79816000000000009</v>
      </c>
      <c r="K75" s="258">
        <f>G75*(1-J75)*(1-E30)</f>
        <v>4.4579247394292316E-5</v>
      </c>
      <c r="L75" s="171"/>
    </row>
    <row r="76" spans="2:12" hidden="1" x14ac:dyDescent="0.25">
      <c r="B76" s="257">
        <v>44</v>
      </c>
      <c r="C76" s="258">
        <f t="shared" si="6"/>
        <v>4.9684341502177348E-3</v>
      </c>
      <c r="D76" s="258">
        <f t="shared" si="7"/>
        <v>0</v>
      </c>
      <c r="E76" s="258">
        <f>0</f>
        <v>0</v>
      </c>
      <c r="F76" s="258">
        <f>C76*I30+D76*J30+E76*K30</f>
        <v>4.6257185226680105E-3</v>
      </c>
      <c r="G76" s="258">
        <f>((C76*(1-I30))-(D76*J30)+(E76*(1-K30)))*F30*G30</f>
        <v>2.2847708503314956E-4</v>
      </c>
      <c r="H76" s="261">
        <f t="shared" si="9"/>
        <v>0.94781499999999996</v>
      </c>
      <c r="I76" s="258">
        <f>G76*(1-H76)*(1-E30)</f>
        <v>1.0730769014209427E-5</v>
      </c>
      <c r="J76" s="261">
        <f t="shared" si="8"/>
        <v>0.79816000000000009</v>
      </c>
      <c r="K76" s="258">
        <f>G76*(1-J76)*(1-E30)</f>
        <v>4.1504233358781796E-5</v>
      </c>
      <c r="L76" s="171"/>
    </row>
    <row r="77" spans="2:12" hidden="1" x14ac:dyDescent="0.25">
      <c r="B77" s="257">
        <v>45</v>
      </c>
      <c r="C77" s="258">
        <f t="shared" si="6"/>
        <v>4.6257185226680105E-3</v>
      </c>
      <c r="D77" s="258">
        <f t="shared" si="7"/>
        <v>0</v>
      </c>
      <c r="E77" s="258">
        <f>0</f>
        <v>0</v>
      </c>
      <c r="F77" s="258">
        <f>C77*I30+D77*J30+E77*K30</f>
        <v>4.3066429390064909E-3</v>
      </c>
      <c r="G77" s="258">
        <f>((C77*(1-I30))-(D77*J30)+(E77*(1-K30)))*F30*G30</f>
        <v>2.1271705577434653E-4</v>
      </c>
      <c r="H77" s="261">
        <f t="shared" si="9"/>
        <v>0.94781499999999996</v>
      </c>
      <c r="I77" s="258">
        <f>G77*(1-H77)*(1-E30)</f>
        <v>9.9905756000258549E-6</v>
      </c>
      <c r="J77" s="261">
        <f t="shared" si="8"/>
        <v>0.79816000000000009</v>
      </c>
      <c r="K77" s="258">
        <f>G77*(1-J77)*(1-E30)</f>
        <v>3.8641329483744675E-5</v>
      </c>
      <c r="L77" s="171"/>
    </row>
    <row r="78" spans="2:12" hidden="1" x14ac:dyDescent="0.25">
      <c r="B78" s="257">
        <v>46</v>
      </c>
      <c r="C78" s="258">
        <f t="shared" si="6"/>
        <v>4.3066429390064909E-3</v>
      </c>
      <c r="D78" s="258">
        <f t="shared" si="7"/>
        <v>0</v>
      </c>
      <c r="E78" s="258">
        <f>0</f>
        <v>0</v>
      </c>
      <c r="F78" s="258">
        <f>C78*I30+D78*J30+E78*K30</f>
        <v>4.0095767421224051E-3</v>
      </c>
      <c r="G78" s="258">
        <f>((C78*(1-I30))-(D78*J30)+(E78*(1-K30)))*F30*G30</f>
        <v>1.9804413125605743E-4</v>
      </c>
      <c r="H78" s="261">
        <f t="shared" si="9"/>
        <v>0.94781499999999996</v>
      </c>
      <c r="I78" s="258">
        <f>G78*(1-H78)*(1-E30)</f>
        <v>9.301439690637628E-6</v>
      </c>
      <c r="J78" s="261">
        <f t="shared" si="8"/>
        <v>0.79816000000000009</v>
      </c>
      <c r="K78" s="258">
        <f>G78*(1-J78)*(1-E30)</f>
        <v>3.5975904707450354E-5</v>
      </c>
      <c r="L78" s="171"/>
    </row>
    <row r="79" spans="2:12" hidden="1" x14ac:dyDescent="0.25">
      <c r="B79" s="257">
        <v>47</v>
      </c>
      <c r="C79" s="258">
        <f t="shared" si="6"/>
        <v>4.0095767421224051E-3</v>
      </c>
      <c r="D79" s="258">
        <f t="shared" si="7"/>
        <v>0</v>
      </c>
      <c r="E79" s="258">
        <f>0</f>
        <v>0</v>
      </c>
      <c r="F79" s="258">
        <f>C79*I30+D79*J30+E79*K30</f>
        <v>3.7330017553481435E-3</v>
      </c>
      <c r="G79" s="258">
        <f>((C79*(1-I30))-(D79*J30)+(E79*(1-K30)))*F30*G30</f>
        <v>1.8438332451617436E-4</v>
      </c>
      <c r="H79" s="261">
        <f t="shared" si="9"/>
        <v>0.94781499999999996</v>
      </c>
      <c r="I79" s="258">
        <f>G79*(1-H79)*(1-E30)</f>
        <v>8.6598394108889095E-6</v>
      </c>
      <c r="J79" s="261">
        <f t="shared" si="8"/>
        <v>0.79816000000000009</v>
      </c>
      <c r="K79" s="258">
        <f>G79*(1-J79)*(1-E30)</f>
        <v>3.3494337198310156E-5</v>
      </c>
      <c r="L79" s="171"/>
    </row>
    <row r="80" spans="2:12" hidden="1" x14ac:dyDescent="0.25">
      <c r="B80" s="257">
        <v>48</v>
      </c>
      <c r="C80" s="258">
        <f t="shared" si="6"/>
        <v>3.7330017553481435E-3</v>
      </c>
      <c r="D80" s="258">
        <f t="shared" si="7"/>
        <v>0</v>
      </c>
      <c r="E80" s="258">
        <f>0</f>
        <v>0</v>
      </c>
      <c r="F80" s="258">
        <f>C80*I30+D80*J30+E80*K30</f>
        <v>3.4755045237158605E-3</v>
      </c>
      <c r="G80" s="258">
        <f>((C80*(1-I30))-(D80*J30)+(E80*(1-K30)))*F30*G30</f>
        <v>1.7166482108818873E-4</v>
      </c>
      <c r="H80" s="261">
        <f t="shared" si="9"/>
        <v>0.94781499999999996</v>
      </c>
      <c r="I80" s="258">
        <f>G80*(1-H80)*(1-E30)</f>
        <v>8.0624958196384219E-6</v>
      </c>
      <c r="J80" s="261">
        <f t="shared" si="8"/>
        <v>0.79816000000000009</v>
      </c>
      <c r="K80" s="258">
        <f>G80*(1-J80)*(1-E30)</f>
        <v>3.1183944739595998E-5</v>
      </c>
      <c r="L80" s="171"/>
    </row>
    <row r="81" spans="2:12" hidden="1" x14ac:dyDescent="0.25">
      <c r="B81" s="257">
        <v>49</v>
      </c>
      <c r="C81" s="258">
        <f t="shared" si="6"/>
        <v>3.4755045237158605E-3</v>
      </c>
      <c r="D81" s="258">
        <f t="shared" si="7"/>
        <v>0</v>
      </c>
      <c r="E81" s="258">
        <f>0</f>
        <v>0</v>
      </c>
      <c r="F81" s="258">
        <f>C81*I30+D81*J30+E81*K30</f>
        <v>3.2357690904013248E-3</v>
      </c>
      <c r="G81" s="258">
        <f>((C81*(1-I30))-(D81*J30)+(E81*(1-K30)))*F30*G30</f>
        <v>1.5982362220969064E-4</v>
      </c>
      <c r="H81" s="261">
        <f t="shared" si="9"/>
        <v>0.94781499999999996</v>
      </c>
      <c r="I81" s="258">
        <f>G81*(1-H81)*(1-E30)</f>
        <v>7.506356152511441E-6</v>
      </c>
      <c r="J81" s="261">
        <f t="shared" si="8"/>
        <v>0.79816000000000009</v>
      </c>
      <c r="K81" s="258">
        <f>G81*(1-J81)*(1-E30)</f>
        <v>2.9032919916123551E-5</v>
      </c>
      <c r="L81" s="171"/>
    </row>
    <row r="82" spans="2:12" hidden="1" x14ac:dyDescent="0.25">
      <c r="B82" s="257">
        <v>50</v>
      </c>
      <c r="C82" s="258">
        <f t="shared" si="6"/>
        <v>3.2357690904013248E-3</v>
      </c>
      <c r="D82" s="258">
        <f t="shared" si="7"/>
        <v>0</v>
      </c>
      <c r="E82" s="258">
        <f>0</f>
        <v>0</v>
      </c>
      <c r="F82" s="258">
        <f>C82*I30+D82*J30+E82*K30</f>
        <v>3.0125702714385552E-3</v>
      </c>
      <c r="G82" s="258">
        <f>((C82*(1-I30))-(D82*J30)+(E82*(1-K30)))*F30*G30</f>
        <v>1.4879921264184648E-4</v>
      </c>
      <c r="H82" s="261">
        <f t="shared" si="9"/>
        <v>0.94781499999999996</v>
      </c>
      <c r="I82" s="258">
        <f>G82*(1-H82)*(1-E30)</f>
        <v>6.9885782205432883E-6</v>
      </c>
      <c r="J82" s="261">
        <f t="shared" si="8"/>
        <v>0.79816000000000009</v>
      </c>
      <c r="K82" s="258">
        <f>G82*(1-J82)*(1-E30)</f>
        <v>2.7030269771667252E-5</v>
      </c>
      <c r="L82" s="171"/>
    </row>
    <row r="83" spans="2:12" hidden="1" x14ac:dyDescent="0.25">
      <c r="B83" s="257">
        <v>51</v>
      </c>
      <c r="C83" s="258">
        <f t="shared" si="6"/>
        <v>3.0125702714385552E-3</v>
      </c>
      <c r="D83" s="258">
        <f t="shared" si="7"/>
        <v>0</v>
      </c>
      <c r="E83" s="258">
        <f>0</f>
        <v>0</v>
      </c>
      <c r="F83" s="258">
        <f>C83*I30+D83*J30+E83*K30</f>
        <v>2.8047673943352204E-3</v>
      </c>
      <c r="G83" s="258">
        <f>((C83*(1-I30))-(D83*J30)+(E83*(1-K30)))*F30*G30</f>
        <v>1.3853525140222322E-4</v>
      </c>
      <c r="H83" s="261">
        <f t="shared" si="9"/>
        <v>0.94781499999999996</v>
      </c>
      <c r="I83" s="258">
        <f>G83*(1-H83)*(1-E30)</f>
        <v>6.5065158849825217E-6</v>
      </c>
      <c r="J83" s="261">
        <f t="shared" si="8"/>
        <v>0.79816000000000009</v>
      </c>
      <c r="K83" s="258">
        <f>G83*(1-J83)*(1-E30)</f>
        <v>2.516575962872225E-5</v>
      </c>
      <c r="L83" s="171"/>
    </row>
    <row r="84" spans="2:12" hidden="1" x14ac:dyDescent="0.25">
      <c r="B84" s="257">
        <v>52</v>
      </c>
      <c r="C84" s="258">
        <f t="shared" si="6"/>
        <v>2.8047673943352204E-3</v>
      </c>
      <c r="D84" s="258">
        <f t="shared" si="7"/>
        <v>0</v>
      </c>
      <c r="E84" s="258">
        <f>0</f>
        <v>0</v>
      </c>
      <c r="F84" s="258">
        <f>C84*I30+D84*J30+E84*K30</f>
        <v>2.6112984685895757E-3</v>
      </c>
      <c r="G84" s="258">
        <f>((C84*(1-I30))-(D84*J30)+(E84*(1-K30)))*F30*G30</f>
        <v>1.2897928383042979E-4</v>
      </c>
      <c r="H84" s="261">
        <f t="shared" si="9"/>
        <v>0.94781499999999996</v>
      </c>
      <c r="I84" s="258">
        <f>G84*(1-H84)*(1-E30)</f>
        <v>6.0577055340218852E-6</v>
      </c>
      <c r="J84" s="261">
        <f t="shared" si="8"/>
        <v>0.79816000000000009</v>
      </c>
      <c r="K84" s="258">
        <f>G84*(1-J84)*(1-E30)</f>
        <v>2.3429860783500544E-5</v>
      </c>
      <c r="L84" s="171"/>
    </row>
    <row r="85" spans="2:12" hidden="1" x14ac:dyDescent="0.25">
      <c r="B85" s="257">
        <v>53</v>
      </c>
      <c r="C85" s="258">
        <f t="shared" si="6"/>
        <v>2.6112984685895757E-3</v>
      </c>
      <c r="D85" s="258">
        <f t="shared" si="7"/>
        <v>0</v>
      </c>
      <c r="E85" s="258">
        <f>0</f>
        <v>0</v>
      </c>
      <c r="F85" s="258">
        <f>C85*I30+D85*J30+E85*K30</f>
        <v>2.431174758316976E-3</v>
      </c>
      <c r="G85" s="258">
        <f>((C85*(1-I30))-(D85*J30)+(E85*(1-K30)))*F30*G30</f>
        <v>1.2008247351506663E-4</v>
      </c>
      <c r="H85" s="261">
        <f t="shared" si="9"/>
        <v>0.94781499999999996</v>
      </c>
      <c r="I85" s="258">
        <f>G85*(1-H85)*(1-E30)</f>
        <v>5.6398534923453813E-6</v>
      </c>
      <c r="J85" s="261">
        <f t="shared" si="8"/>
        <v>0.79816000000000009</v>
      </c>
      <c r="K85" s="258">
        <f>G85*(1-J85)*(1-E30)</f>
        <v>2.1813701808852934E-5</v>
      </c>
      <c r="L85" s="171"/>
    </row>
    <row r="86" spans="2:12" hidden="1" x14ac:dyDescent="0.25">
      <c r="B86" s="257">
        <v>54</v>
      </c>
      <c r="C86" s="258">
        <f t="shared" si="6"/>
        <v>2.431174758316976E-3</v>
      </c>
      <c r="D86" s="258">
        <f t="shared" si="7"/>
        <v>0</v>
      </c>
      <c r="E86" s="258">
        <f>0</f>
        <v>0</v>
      </c>
      <c r="F86" s="258">
        <f>C86*I30+D86*J30+E86*K30</f>
        <v>2.2634757292490076E-3</v>
      </c>
      <c r="G86" s="258">
        <f>((C86*(1-I30))-(D86*J30)+(E86*(1-K30)))*F30*G30</f>
        <v>1.1179935271197908E-4</v>
      </c>
      <c r="H86" s="261">
        <f t="shared" si="9"/>
        <v>0.94781499999999996</v>
      </c>
      <c r="I86" s="258">
        <f>G86*(1-H86)*(1-E30)</f>
        <v>5.2508242991471694E-6</v>
      </c>
      <c r="J86" s="261">
        <f t="shared" si="8"/>
        <v>0.79816000000000009</v>
      </c>
      <c r="K86" s="258">
        <f>G86*(1-J86)*(1-E30)</f>
        <v>2.0309023216247265E-5</v>
      </c>
      <c r="L86" s="171"/>
    </row>
    <row r="87" spans="2:12" hidden="1" x14ac:dyDescent="0.25">
      <c r="B87" s="257">
        <v>55</v>
      </c>
      <c r="C87" s="258">
        <f t="shared" si="6"/>
        <v>2.2634757292490076E-3</v>
      </c>
      <c r="D87" s="258">
        <f t="shared" si="7"/>
        <v>0</v>
      </c>
      <c r="E87" s="258">
        <f>0</f>
        <v>0</v>
      </c>
      <c r="F87" s="258">
        <f>C87*I30+D87*J30+E87*K30</f>
        <v>2.1073443442815427E-3</v>
      </c>
      <c r="G87" s="258">
        <f>((C87*(1-I30))-(D87*J30)+(E87*(1-K30)))*F30*G30</f>
        <v>1.0408758997830981E-4</v>
      </c>
      <c r="H87" s="261">
        <f t="shared" si="9"/>
        <v>0.94781499999999996</v>
      </c>
      <c r="I87" s="258">
        <f>G87*(1-H87)*(1-E30)</f>
        <v>4.8886297947162912E-6</v>
      </c>
      <c r="J87" s="261">
        <f t="shared" si="8"/>
        <v>0.79816000000000009</v>
      </c>
      <c r="K87" s="258">
        <f>G87*(1-J87)*(1-E30)</f>
        <v>1.8908135245099841E-5</v>
      </c>
      <c r="L87" s="171"/>
    </row>
    <row r="88" spans="2:12" hidden="1" x14ac:dyDescent="0.25">
      <c r="B88" s="257">
        <v>56</v>
      </c>
      <c r="C88" s="258">
        <f t="shared" si="6"/>
        <v>2.1073443442815427E-3</v>
      </c>
      <c r="D88" s="258">
        <f t="shared" si="7"/>
        <v>0</v>
      </c>
      <c r="E88" s="258">
        <f>0</f>
        <v>0</v>
      </c>
      <c r="F88" s="258">
        <f>C88*I30+D88*J30+E88*K30</f>
        <v>1.9619826835292993E-3</v>
      </c>
      <c r="G88" s="258">
        <f>((C88*(1-I30))-(D88*J30)+(E88*(1-K30)))*F30*G30</f>
        <v>9.6907773834828951E-5</v>
      </c>
      <c r="H88" s="261">
        <f t="shared" si="9"/>
        <v>0.94781499999999996</v>
      </c>
      <c r="I88" s="258">
        <f>G88*(1-H88)*(1-E30)</f>
        <v>4.5514189598134972E-6</v>
      </c>
      <c r="J88" s="261">
        <f t="shared" si="8"/>
        <v>0.79816000000000009</v>
      </c>
      <c r="K88" s="258">
        <f>G88*(1-J88)*(1-E30)</f>
        <v>1.760387856373968E-5</v>
      </c>
      <c r="L88" s="171"/>
    </row>
    <row r="89" spans="2:12" hidden="1" x14ac:dyDescent="0.25">
      <c r="B89" s="257">
        <v>57</v>
      </c>
      <c r="C89" s="258">
        <f t="shared" si="6"/>
        <v>1.9619826835292993E-3</v>
      </c>
      <c r="D89" s="258">
        <f t="shared" si="7"/>
        <v>0</v>
      </c>
      <c r="E89" s="258">
        <f>0</f>
        <v>0</v>
      </c>
      <c r="F89" s="258">
        <f>C89*I30+D89*J30+E89*K30</f>
        <v>1.826647866502899E-3</v>
      </c>
      <c r="G89" s="258">
        <f>((C89*(1-I30))-(D89*J30)+(E89*(1-K30)))*F30*G30</f>
        <v>9.022321135093356E-5</v>
      </c>
      <c r="H89" s="261">
        <f t="shared" si="9"/>
        <v>0.94781499999999996</v>
      </c>
      <c r="I89" s="258">
        <f>G89*(1-H89)*(1-E30)</f>
        <v>4.2374684559136242E-6</v>
      </c>
      <c r="J89" s="261">
        <f t="shared" si="8"/>
        <v>0.79816000000000009</v>
      </c>
      <c r="K89" s="258">
        <f>G89*(1-J89)*(1-E30)</f>
        <v>1.6389587681165181E-5</v>
      </c>
      <c r="L89" s="171"/>
    </row>
    <row r="90" spans="2:12" hidden="1" x14ac:dyDescent="0.25">
      <c r="B90" s="257">
        <v>58</v>
      </c>
      <c r="C90" s="258">
        <f t="shared" si="6"/>
        <v>1.826647866502899E-3</v>
      </c>
      <c r="D90" s="258">
        <f t="shared" si="7"/>
        <v>0</v>
      </c>
      <c r="E90" s="258">
        <f>0</f>
        <v>0</v>
      </c>
      <c r="F90" s="258">
        <f>C90*I30+D90*J30+E90*K30</f>
        <v>1.7006482555684415E-3</v>
      </c>
      <c r="G90" s="258">
        <f>((C90*(1-I30))-(D90*J30)+(E90*(1-K30)))*F30*G30</f>
        <v>8.3999740622971609E-5</v>
      </c>
      <c r="H90" s="261">
        <f t="shared" si="9"/>
        <v>0.94781499999999996</v>
      </c>
      <c r="I90" s="258">
        <f>G90*(1-H90)*(1-E30)</f>
        <v>3.9451738179687992E-6</v>
      </c>
      <c r="J90" s="261">
        <f t="shared" si="8"/>
        <v>0.79816000000000009</v>
      </c>
      <c r="K90" s="258">
        <f>G90*(1-J90)*(1-E30)</f>
        <v>1.5259056882606522E-5</v>
      </c>
      <c r="L90" s="171"/>
    </row>
    <row r="91" spans="2:12" hidden="1" x14ac:dyDescent="0.25">
      <c r="B91" s="257">
        <v>59</v>
      </c>
      <c r="C91" s="258">
        <f t="shared" si="6"/>
        <v>1.7006482555684415E-3</v>
      </c>
      <c r="D91" s="258">
        <f t="shared" si="7"/>
        <v>0</v>
      </c>
      <c r="E91" s="258">
        <f>0</f>
        <v>0</v>
      </c>
      <c r="F91" s="258">
        <f>C91*I30+D91*J30+E91*K30</f>
        <v>1.5833399212871187E-3</v>
      </c>
      <c r="G91" s="258">
        <f>((C91*(1-I30))-(D91*J30)+(E91*(1-K30)))*F30*G30</f>
        <v>7.8205556187548587E-5</v>
      </c>
      <c r="H91" s="261">
        <f t="shared" si="9"/>
        <v>0.94781499999999996</v>
      </c>
      <c r="I91" s="258">
        <f>G91*(1-H91)*(1-E30)</f>
        <v>3.6730412546825033E-6</v>
      </c>
      <c r="J91" s="261">
        <f t="shared" si="8"/>
        <v>0.79816000000000009</v>
      </c>
      <c r="K91" s="258">
        <f>G91*(1-J91)*(1-E30)</f>
        <v>1.4206508514805321E-5</v>
      </c>
      <c r="L91" s="171"/>
    </row>
    <row r="92" spans="2:12" hidden="1" x14ac:dyDescent="0.25">
      <c r="B92" s="257">
        <v>60</v>
      </c>
      <c r="C92" s="258">
        <f t="shared" si="6"/>
        <v>1.5833399212871187E-3</v>
      </c>
      <c r="D92" s="258">
        <f t="shared" si="7"/>
        <v>0</v>
      </c>
      <c r="E92" s="258">
        <f>0</f>
        <v>0</v>
      </c>
      <c r="F92" s="258">
        <f>C92*I30+D92*J30+E92*K30</f>
        <v>1.4741233515707492E-3</v>
      </c>
      <c r="G92" s="258">
        <f>((C92*(1-I30))-(D92*J30)+(E92*(1-K30)))*F30*G30</f>
        <v>7.2811046477579629E-5</v>
      </c>
      <c r="H92" s="261">
        <f t="shared" si="9"/>
        <v>0.94781499999999996</v>
      </c>
      <c r="I92" s="258">
        <f>G92*(1-H92)*(1-E30)</f>
        <v>3.4196800143892461E-6</v>
      </c>
      <c r="J92" s="261">
        <f t="shared" si="8"/>
        <v>0.79816000000000009</v>
      </c>
      <c r="K92" s="258">
        <f>G92*(1-J92)*(1-E30)</f>
        <v>1.3226563458931199E-5</v>
      </c>
      <c r="L92" s="171"/>
    </row>
    <row r="93" spans="2:12" hidden="1" x14ac:dyDescent="0.25">
      <c r="B93" s="257">
        <v>61</v>
      </c>
      <c r="C93" s="258">
        <f t="shared" si="6"/>
        <v>1.4741233515707492E-3</v>
      </c>
      <c r="D93" s="258">
        <f t="shared" si="7"/>
        <v>0</v>
      </c>
      <c r="E93" s="258">
        <f>0</f>
        <v>0</v>
      </c>
      <c r="F93" s="258">
        <f>C93*I30+D93*J30+E93*K30</f>
        <v>1.3724403878351561E-3</v>
      </c>
      <c r="G93" s="258">
        <f>((C93*(1-I30))-(D93*J30)+(E93*(1-K30)))*F30*G30</f>
        <v>6.7788642490395395E-5</v>
      </c>
      <c r="H93" s="261">
        <f t="shared" si="9"/>
        <v>0.94781499999999996</v>
      </c>
      <c r="I93" s="258">
        <f>G93*(1-H93)*(1-E30)</f>
        <v>3.1837952775251575E-6</v>
      </c>
      <c r="J93" s="261">
        <v>0</v>
      </c>
      <c r="K93" s="258">
        <f>G93*(1-J93)*(1-E30)</f>
        <v>6.1009778241355858E-5</v>
      </c>
      <c r="L93" s="171"/>
    </row>
    <row r="94" spans="2:12" hidden="1" x14ac:dyDescent="0.25">
      <c r="B94" s="257">
        <v>62</v>
      </c>
      <c r="C94" s="258">
        <f t="shared" si="6"/>
        <v>1.3724403878351561E-3</v>
      </c>
      <c r="D94" s="258">
        <f t="shared" si="7"/>
        <v>0</v>
      </c>
      <c r="E94" s="258">
        <f>0</f>
        <v>0</v>
      </c>
      <c r="F94" s="258">
        <f>C94*I30+D94*J30+E94*K30</f>
        <v>1.277771372493391E-3</v>
      </c>
      <c r="G94" s="258">
        <f>((C94*(1-I30))-(D94*J30)+(E94*(1-K30)))*F30*G30</f>
        <v>6.311267689451009E-5</v>
      </c>
      <c r="H94" s="261">
        <f t="shared" si="9"/>
        <v>0.94781499999999996</v>
      </c>
      <c r="I94" s="258">
        <f>G94*(1-H94)*(1-E30)</f>
        <v>2.9641815393660101E-6</v>
      </c>
      <c r="J94" s="261">
        <v>0</v>
      </c>
      <c r="K94" s="258">
        <f>G94*(1-J94)*(1-E30)</f>
        <v>5.680140920505908E-5</v>
      </c>
      <c r="L94" s="171"/>
    </row>
    <row r="95" spans="2:12" hidden="1" x14ac:dyDescent="0.25">
      <c r="B95" s="257">
        <v>63</v>
      </c>
      <c r="C95" s="258">
        <f t="shared" si="6"/>
        <v>1.277771372493391E-3</v>
      </c>
      <c r="D95" s="258">
        <f t="shared" si="7"/>
        <v>0</v>
      </c>
      <c r="E95" s="258">
        <f>0</f>
        <v>0</v>
      </c>
      <c r="F95" s="258">
        <f>C95*I30+D95*J30+E95*K30</f>
        <v>1.1896324932108803E-3</v>
      </c>
      <c r="G95" s="258">
        <f>((C95*(1-I30))-(D95*J30)+(E95*(1-K30)))*F30*G30</f>
        <v>5.87592528550072E-5</v>
      </c>
      <c r="H95" s="261">
        <f t="shared" si="9"/>
        <v>0.94781499999999996</v>
      </c>
      <c r="I95" s="258">
        <f>G95*(1-H95)*(1-E30)</f>
        <v>2.7597164492146977E-6</v>
      </c>
      <c r="J95" s="261">
        <v>0</v>
      </c>
      <c r="K95" s="258">
        <f>G95*(1-J95)*(1-E30)</f>
        <v>5.2883327569506481E-5</v>
      </c>
      <c r="L95" s="171"/>
    </row>
    <row r="96" spans="2:12" hidden="1" x14ac:dyDescent="0.25">
      <c r="B96" s="257">
        <v>64</v>
      </c>
      <c r="C96" s="258">
        <f t="shared" si="6"/>
        <v>1.1896324932108803E-3</v>
      </c>
      <c r="D96" s="258">
        <f t="shared" si="7"/>
        <v>0</v>
      </c>
      <c r="E96" s="258">
        <f>0</f>
        <v>0</v>
      </c>
      <c r="F96" s="258">
        <f>C96*I30+D96*J30+E96*K30</f>
        <v>1.1075733103501307E-3</v>
      </c>
      <c r="G96" s="258">
        <f>((C96*(1-I30))-(D96*J30)+(E96*(1-K30)))*F30*G30</f>
        <v>5.4706121907166383E-5</v>
      </c>
      <c r="H96" s="261">
        <f t="shared" si="9"/>
        <v>0.94781499999999996</v>
      </c>
      <c r="I96" s="258">
        <f>G96*(1-H96)*(1-E30)</f>
        <v>2.5693550745529319E-6</v>
      </c>
      <c r="J96" s="261">
        <v>0</v>
      </c>
      <c r="K96" s="258">
        <f>G96*(1-J96)*(1-E30)</f>
        <v>4.9235509716449745E-5</v>
      </c>
      <c r="L96" s="171"/>
    </row>
    <row r="97" spans="2:12" hidden="1" x14ac:dyDescent="0.25">
      <c r="B97" s="257">
        <v>65</v>
      </c>
      <c r="C97" s="258">
        <f t="shared" si="6"/>
        <v>1.1075733103501307E-3</v>
      </c>
      <c r="D97" s="258">
        <f t="shared" si="7"/>
        <v>0</v>
      </c>
      <c r="E97" s="258">
        <f>0</f>
        <v>0</v>
      </c>
      <c r="F97" s="258">
        <f>C97*I30+D97*J30+E97*K30</f>
        <v>1.031174454968836E-3</v>
      </c>
      <c r="G97" s="258">
        <f>((C97*(1-I30))-(D97*J30)+(E97*(1-K30)))*F30*G30</f>
        <v>5.0932570254196477E-5</v>
      </c>
      <c r="H97" s="261">
        <f t="shared" si="9"/>
        <v>0.94781499999999996</v>
      </c>
      <c r="I97" s="258">
        <f>G97*(1-H97)*(1-E30)</f>
        <v>2.3921245608437207E-6</v>
      </c>
      <c r="J97" s="261">
        <v>0</v>
      </c>
      <c r="K97" s="258">
        <f>G97*(1-J97)*(1-E30)</f>
        <v>4.5839313228776832E-5</v>
      </c>
      <c r="L97" s="171"/>
    </row>
    <row r="98" spans="2:12" hidden="1" x14ac:dyDescent="0.25">
      <c r="B98" s="257">
        <v>66</v>
      </c>
      <c r="C98" s="258">
        <f t="shared" ref="C98:C132" si="10">F97</f>
        <v>1.031174454968836E-3</v>
      </c>
      <c r="D98" s="258">
        <f t="shared" ref="D98:D132" si="11">E97</f>
        <v>0</v>
      </c>
      <c r="E98" s="258">
        <f>0</f>
        <v>0</v>
      </c>
      <c r="F98" s="258">
        <f>C98*I30+D98*J30+E98*K30</f>
        <v>9.6004548560684854E-4</v>
      </c>
      <c r="G98" s="258">
        <f>((C98*(1-I30))-(D98*J30)+(E98*(1-K30)))*F30*G30</f>
        <v>4.741931290799166E-5</v>
      </c>
      <c r="H98" s="261">
        <f t="shared" si="9"/>
        <v>0.94781499999999996</v>
      </c>
      <c r="I98" s="258">
        <f>G98*(1-H98)*(1-E30)</f>
        <v>2.2271191596931922E-6</v>
      </c>
      <c r="J98" s="261">
        <v>0</v>
      </c>
      <c r="K98" s="258">
        <f>G98*(1-J98)*(1-E30)</f>
        <v>4.2677381617192495E-5</v>
      </c>
      <c r="L98" s="171"/>
    </row>
    <row r="99" spans="2:12" hidden="1" x14ac:dyDescent="0.25">
      <c r="B99" s="257">
        <v>67</v>
      </c>
      <c r="C99" s="258">
        <f t="shared" si="10"/>
        <v>9.6004548560684854E-4</v>
      </c>
      <c r="D99" s="258">
        <f t="shared" si="11"/>
        <v>0</v>
      </c>
      <c r="E99" s="258">
        <f>0</f>
        <v>0</v>
      </c>
      <c r="F99" s="258">
        <f>C99*I30+D99*J30+E99*K30</f>
        <v>8.9382289290898379E-4</v>
      </c>
      <c r="G99" s="258">
        <f>((C99*(1-I30))-(D99*J30)+(E99*(1-K30)))*F30*G30</f>
        <v>4.4148395131909849E-5</v>
      </c>
      <c r="H99" s="261">
        <f t="shared" si="9"/>
        <v>0.94781499999999996</v>
      </c>
      <c r="I99" s="258">
        <f>G99*(1-H99)*(1-E30)</f>
        <v>2.0734955999628452E-6</v>
      </c>
      <c r="J99" s="261">
        <v>0</v>
      </c>
      <c r="K99" s="258">
        <f>G99*(1-J99)*(1-E30)</f>
        <v>3.9733555618718867E-5</v>
      </c>
      <c r="L99" s="171"/>
    </row>
    <row r="100" spans="2:12" hidden="1" x14ac:dyDescent="0.25">
      <c r="B100" s="257">
        <v>68</v>
      </c>
      <c r="C100" s="258">
        <f t="shared" si="10"/>
        <v>8.9382289290898379E-4</v>
      </c>
      <c r="D100" s="258">
        <f t="shared" si="11"/>
        <v>0</v>
      </c>
      <c r="E100" s="258">
        <f>0</f>
        <v>0</v>
      </c>
      <c r="F100" s="258">
        <f>C100*I30+D100*J30+E100*K30</f>
        <v>8.3216824188614836E-4</v>
      </c>
      <c r="G100" s="258">
        <f>((C100*(1-I30))-(D100*J30)+(E100*(1-K30)))*F30*G30</f>
        <v>4.1103100681890304E-5</v>
      </c>
      <c r="H100" s="261">
        <f t="shared" si="9"/>
        <v>0.94781499999999996</v>
      </c>
      <c r="I100" s="258">
        <f>G100*(1-H100)*(1-E30)</f>
        <v>1.9304687781760025E-6</v>
      </c>
      <c r="J100" s="261">
        <v>0</v>
      </c>
      <c r="K100" s="258">
        <f>G100*(1-J100)*(1-E30)</f>
        <v>3.6992790613701278E-5</v>
      </c>
      <c r="L100" s="171"/>
    </row>
    <row r="101" spans="2:12" hidden="1" x14ac:dyDescent="0.25">
      <c r="B101" s="257">
        <v>69</v>
      </c>
      <c r="C101" s="258">
        <f t="shared" si="10"/>
        <v>8.3216824188614836E-4</v>
      </c>
      <c r="D101" s="258">
        <f t="shared" si="11"/>
        <v>0</v>
      </c>
      <c r="E101" s="258">
        <f>0</f>
        <v>0</v>
      </c>
      <c r="F101" s="258">
        <f>C101*I30+D101*J30+E101*K30</f>
        <v>7.7476644232069296E-4</v>
      </c>
      <c r="G101" s="258">
        <f>((C101*(1-I30))-(D101*J30)+(E101*(1-K30)))*F30*G30</f>
        <v>3.8267866376970265E-5</v>
      </c>
      <c r="H101" s="261">
        <f t="shared" si="9"/>
        <v>0.94781499999999996</v>
      </c>
      <c r="I101" s="258">
        <f>G101*(1-H101)*(1-E30)</f>
        <v>1.7973077461939753E-6</v>
      </c>
      <c r="J101" s="261">
        <v>0</v>
      </c>
      <c r="K101" s="258">
        <f>G101*(1-J101)*(1-E30)</f>
        <v>3.444107973927324E-5</v>
      </c>
      <c r="L101" s="171"/>
    </row>
    <row r="102" spans="2:12" hidden="1" x14ac:dyDescent="0.25">
      <c r="B102" s="257">
        <v>70</v>
      </c>
      <c r="C102" s="258">
        <f t="shared" si="10"/>
        <v>7.7476644232069296E-4</v>
      </c>
      <c r="D102" s="258">
        <f t="shared" si="11"/>
        <v>0</v>
      </c>
      <c r="E102" s="258">
        <f>0</f>
        <v>0</v>
      </c>
      <c r="F102" s="258">
        <f>C102*I30+D102*J30+E102*K30</f>
        <v>7.2132413847678122E-4</v>
      </c>
      <c r="G102" s="258">
        <f>((C102*(1-I30))-(D102*J30)+(E102*(1-K30)))*F30*G30</f>
        <v>3.5628202562607826E-5</v>
      </c>
      <c r="H102" s="261">
        <f t="shared" si="9"/>
        <v>0.94781499999999996</v>
      </c>
      <c r="I102" s="258">
        <f>G102*(1-H102)*(1-E30)</f>
        <v>1.6733319756567216E-6</v>
      </c>
      <c r="J102" s="261">
        <v>0</v>
      </c>
      <c r="K102" s="258">
        <f>G102*(1-J102)*(1-E30)</f>
        <v>3.2065382306347047E-5</v>
      </c>
      <c r="L102" s="171"/>
    </row>
    <row r="103" spans="2:12" hidden="1" x14ac:dyDescent="0.25">
      <c r="B103" s="257">
        <v>71</v>
      </c>
      <c r="C103" s="258">
        <f t="shared" si="10"/>
        <v>7.2132413847678122E-4</v>
      </c>
      <c r="D103" s="258">
        <f t="shared" si="11"/>
        <v>0</v>
      </c>
      <c r="E103" s="258">
        <f>0</f>
        <v>0</v>
      </c>
      <c r="F103" s="258">
        <f>C103*I30+D103*J30+E103*K30</f>
        <v>6.7156820988628141E-4</v>
      </c>
      <c r="G103" s="258">
        <f>((C103*(1-I30))-(D103*J30)+(E103*(1-K30)))*F30*G30</f>
        <v>3.3170619060333224E-5</v>
      </c>
      <c r="H103" s="261">
        <f t="shared" si="9"/>
        <v>0.94781499999999996</v>
      </c>
      <c r="I103" s="258">
        <f>G103*(1-H103)*(1-E30)</f>
        <v>1.5579078800971415E-6</v>
      </c>
      <c r="J103" s="261">
        <v>0</v>
      </c>
      <c r="K103" s="258">
        <f>G103*(1-J103)*(1-E30)</f>
        <v>2.9853557154299903E-5</v>
      </c>
      <c r="L103" s="171"/>
    </row>
    <row r="104" spans="2:12" hidden="1" x14ac:dyDescent="0.25">
      <c r="B104" s="257">
        <v>72</v>
      </c>
      <c r="C104" s="258">
        <f t="shared" si="10"/>
        <v>6.7156820988628141E-4</v>
      </c>
      <c r="D104" s="258">
        <f t="shared" si="11"/>
        <v>0</v>
      </c>
      <c r="E104" s="258">
        <f>0</f>
        <v>0</v>
      </c>
      <c r="F104" s="258">
        <f>C104*I30+D104*J30+E104*K30</f>
        <v>6.2524437554834704E-4</v>
      </c>
      <c r="G104" s="258">
        <f>((C104*(1-I30))-(D104*J30)+(E104*(1-K30)))*F30*G30</f>
        <v>3.0882556225289562E-5</v>
      </c>
      <c r="H104" s="261">
        <f t="shared" si="9"/>
        <v>0.94781499999999996</v>
      </c>
      <c r="I104" s="258">
        <f>G104*(1-H104)*(1-E30)</f>
        <v>1.4504455769550634E-6</v>
      </c>
      <c r="J104" s="261">
        <v>0</v>
      </c>
      <c r="K104" s="258">
        <f>G104*(1-J104)*(1-E30)</f>
        <v>2.7794300602760608E-5</v>
      </c>
      <c r="L104" s="171"/>
    </row>
    <row r="105" spans="2:12" hidden="1" x14ac:dyDescent="0.25">
      <c r="B105" s="257">
        <v>73</v>
      </c>
      <c r="C105" s="258">
        <f t="shared" si="10"/>
        <v>6.2524437554834704E-4</v>
      </c>
      <c r="D105" s="258">
        <f t="shared" si="11"/>
        <v>0</v>
      </c>
      <c r="E105" s="258">
        <f>0</f>
        <v>0</v>
      </c>
      <c r="F105" s="258">
        <f>C105*I30+D105*J30+E105*K30</f>
        <v>5.8211589440935541E-4</v>
      </c>
      <c r="G105" s="258">
        <f>((C105*(1-I30))-(D105*J30)+(E105*(1-K30)))*F30*G30</f>
        <v>2.8752320759327724E-5</v>
      </c>
      <c r="H105" s="261">
        <f t="shared" si="9"/>
        <v>0.94781499999999996</v>
      </c>
      <c r="I105" s="258">
        <f>G105*(1-H105)*(1-E30)</f>
        <v>1.3503958729429665E-6</v>
      </c>
      <c r="J105" s="261">
        <v>0</v>
      </c>
      <c r="K105" s="258">
        <f>G105*(1-J105)*(1-E30)</f>
        <v>2.5877088683394951E-5</v>
      </c>
      <c r="L105" s="171"/>
    </row>
    <row r="106" spans="2:12" hidden="1" x14ac:dyDescent="0.25">
      <c r="B106" s="257">
        <v>74</v>
      </c>
      <c r="C106" s="258">
        <f t="shared" si="10"/>
        <v>5.8211589440935541E-4</v>
      </c>
      <c r="D106" s="258">
        <f t="shared" si="11"/>
        <v>0</v>
      </c>
      <c r="E106" s="258">
        <f>0</f>
        <v>0</v>
      </c>
      <c r="F106" s="258">
        <f>C106*I30+D106*J30+E106*K30</f>
        <v>5.4196235548191918E-4</v>
      </c>
      <c r="G106" s="258">
        <f>((C106*(1-I30))-(D106*J30)+(E106*(1-K30)))*F30*G30</f>
        <v>2.6769025951624144E-5</v>
      </c>
      <c r="H106" s="261">
        <f t="shared" si="9"/>
        <v>0.94781499999999996</v>
      </c>
      <c r="I106" s="258">
        <f>G106*(1-H106)*(1-E30)</f>
        <v>1.2572474573569563E-6</v>
      </c>
      <c r="J106" s="261">
        <v>0</v>
      </c>
      <c r="K106" s="258">
        <f>G106*(1-J106)*(1-E30)</f>
        <v>2.4092123356461729E-5</v>
      </c>
      <c r="L106" s="171"/>
    </row>
    <row r="107" spans="2:12" hidden="1" x14ac:dyDescent="0.25">
      <c r="B107" s="257">
        <v>75</v>
      </c>
      <c r="C107" s="258">
        <f t="shared" si="10"/>
        <v>5.4196235548191918E-4</v>
      </c>
      <c r="D107" s="258">
        <f t="shared" si="11"/>
        <v>0</v>
      </c>
      <c r="E107" s="258">
        <f>0</f>
        <v>0</v>
      </c>
      <c r="F107" s="258">
        <f>C107*I30+D107*J30+E107*K30</f>
        <v>5.0457855141979372E-4</v>
      </c>
      <c r="G107" s="258">
        <f>((C107*(1-I30))-(D107*J30)+(E107*(1-K30)))*F30*G30</f>
        <v>2.492253604141699E-5</v>
      </c>
      <c r="H107" s="261">
        <f t="shared" ref="H107:H132" si="12">0.95*0.9977</f>
        <v>0.94781499999999996</v>
      </c>
      <c r="I107" s="258">
        <f>G107*(1-H107)*(1-E30)</f>
        <v>1.1705242889892119E-6</v>
      </c>
      <c r="J107" s="261">
        <v>0</v>
      </c>
      <c r="K107" s="258">
        <f>G107*(1-J107)*(1-E30)</f>
        <v>2.2430282437275292E-5</v>
      </c>
      <c r="L107" s="171"/>
    </row>
    <row r="108" spans="2:12" hidden="1" x14ac:dyDescent="0.25">
      <c r="B108" s="257">
        <v>76</v>
      </c>
      <c r="C108" s="258">
        <f t="shared" si="10"/>
        <v>5.0457855141979372E-4</v>
      </c>
      <c r="D108" s="258">
        <f t="shared" si="11"/>
        <v>0</v>
      </c>
      <c r="E108" s="258">
        <f>0</f>
        <v>0</v>
      </c>
      <c r="F108" s="258">
        <f>C108*I30+D108*J30+E108*K30</f>
        <v>4.6977342979200943E-4</v>
      </c>
      <c r="G108" s="258">
        <f>((C108*(1-I30))-(D108*J30)+(E108*(1-K30)))*F30*G30</f>
        <v>2.3203414418522876E-5</v>
      </c>
      <c r="H108" s="261">
        <f t="shared" si="12"/>
        <v>0.94781499999999996</v>
      </c>
      <c r="I108" s="258">
        <f>G108*(1-H108)*(1-E30)</f>
        <v>1.0897831632875556E-6</v>
      </c>
      <c r="J108" s="261">
        <v>0</v>
      </c>
      <c r="K108" s="258">
        <f>G108*(1-J108)*(1-E30)</f>
        <v>2.0883072976670588E-5</v>
      </c>
      <c r="L108" s="171"/>
    </row>
    <row r="109" spans="2:12" hidden="1" x14ac:dyDescent="0.25">
      <c r="B109" s="257">
        <v>77</v>
      </c>
      <c r="C109" s="258">
        <f t="shared" si="10"/>
        <v>4.6977342979200943E-4</v>
      </c>
      <c r="D109" s="258">
        <f t="shared" si="11"/>
        <v>0</v>
      </c>
      <c r="E109" s="258">
        <f>0</f>
        <v>0</v>
      </c>
      <c r="F109" s="258">
        <f>C109*I30+D109*J30+E109*K30</f>
        <v>4.373691166966453E-4</v>
      </c>
      <c r="G109" s="258">
        <f>((C109*(1-I30))-(D109*J30)+(E109*(1-K30)))*F30*G30</f>
        <v>2.1602875396909415E-5</v>
      </c>
      <c r="H109" s="261">
        <f t="shared" si="12"/>
        <v>0.94781499999999996</v>
      </c>
      <c r="I109" s="258">
        <f>G109*(1-H109)*(1-E30)</f>
        <v>1.0146114473289468E-6</v>
      </c>
      <c r="J109" s="261">
        <v>0</v>
      </c>
      <c r="K109" s="258">
        <f>G109*(1-J109)*(1-E30)</f>
        <v>1.9442587857218475E-5</v>
      </c>
      <c r="L109" s="171"/>
    </row>
    <row r="110" spans="2:12" hidden="1" x14ac:dyDescent="0.25">
      <c r="B110" s="257">
        <v>78</v>
      </c>
      <c r="C110" s="258">
        <f t="shared" si="10"/>
        <v>4.373691166966453E-4</v>
      </c>
      <c r="D110" s="258">
        <f t="shared" si="11"/>
        <v>0</v>
      </c>
      <c r="E110" s="258">
        <f>0</f>
        <v>0</v>
      </c>
      <c r="F110" s="258">
        <f>C110*I30+D110*J30+E110*K30</f>
        <v>4.0720000772435661E-4</v>
      </c>
      <c r="G110" s="258">
        <f>((C110*(1-I30))-(D110*J30)+(E110*(1-K30)))*F30*G30</f>
        <v>2.0112739314859129E-5</v>
      </c>
      <c r="H110" s="261">
        <f t="shared" si="12"/>
        <v>0.94781499999999996</v>
      </c>
      <c r="I110" s="258">
        <f>G110*(1-H110)*(1-E30)</f>
        <v>9.4462497103133204E-7</v>
      </c>
      <c r="J110" s="261">
        <v>0</v>
      </c>
      <c r="K110" s="258">
        <f>G110*(1-J110)*(1-E30)</f>
        <v>1.8101465383373218E-5</v>
      </c>
      <c r="L110" s="171"/>
    </row>
    <row r="111" spans="2:12" hidden="1" x14ac:dyDescent="0.25">
      <c r="B111" s="257">
        <v>79</v>
      </c>
      <c r="C111" s="258">
        <f t="shared" si="10"/>
        <v>4.0720000772435661E-4</v>
      </c>
      <c r="D111" s="258">
        <f t="shared" si="11"/>
        <v>0</v>
      </c>
      <c r="E111" s="258">
        <f>0</f>
        <v>0</v>
      </c>
      <c r="F111" s="258">
        <f>C111*I30+D111*J30+E111*K30</f>
        <v>3.791119216259649E-4</v>
      </c>
      <c r="G111" s="258">
        <f>((C111*(1-I30))-(D111*J30)+(E111*(1-K30)))*F30*G30</f>
        <v>1.872539073226115E-5</v>
      </c>
      <c r="H111" s="261">
        <f t="shared" si="12"/>
        <v>0.94781499999999996</v>
      </c>
      <c r="I111" s="258">
        <f>G111*(1-H111)*(1-E30)</f>
        <v>8.7946606382674401E-7</v>
      </c>
      <c r="J111" s="261">
        <v>0</v>
      </c>
      <c r="K111" s="258">
        <f>G111*(1-J111)*(1-E30)</f>
        <v>1.6852851659035037E-5</v>
      </c>
      <c r="L111" s="171"/>
    </row>
    <row r="112" spans="2:12" hidden="1" x14ac:dyDescent="0.25">
      <c r="B112" s="257">
        <v>80</v>
      </c>
      <c r="C112" s="258">
        <f t="shared" si="10"/>
        <v>3.791119216259649E-4</v>
      </c>
      <c r="D112" s="258">
        <f t="shared" si="11"/>
        <v>0</v>
      </c>
      <c r="E112" s="258">
        <f>0</f>
        <v>0</v>
      </c>
      <c r="F112" s="258">
        <f>C112*I30+D112*J30+E112*K30</f>
        <v>3.5296131235887206E-4</v>
      </c>
      <c r="G112" s="258">
        <f>((C112*(1-I30))-(D112*J30)+(E112*(1-K30)))*F30*G30</f>
        <v>1.7433739511395229E-5</v>
      </c>
      <c r="H112" s="261">
        <f t="shared" si="12"/>
        <v>0.94781499999999996</v>
      </c>
      <c r="I112" s="258">
        <f>G112*(1-H112)*(1-E30)</f>
        <v>8.1880172676194458E-7</v>
      </c>
      <c r="J112" s="261">
        <v>0</v>
      </c>
      <c r="K112" s="258">
        <f>G112*(1-J112)*(1-E30)</f>
        <v>1.5690365560255708E-5</v>
      </c>
      <c r="L112" s="171"/>
    </row>
    <row r="113" spans="2:12" hidden="1" x14ac:dyDescent="0.25">
      <c r="B113" s="257">
        <v>81</v>
      </c>
      <c r="C113" s="258">
        <f t="shared" si="10"/>
        <v>3.5296131235887206E-4</v>
      </c>
      <c r="D113" s="258">
        <f t="shared" si="11"/>
        <v>0</v>
      </c>
      <c r="E113" s="258">
        <f>0</f>
        <v>0</v>
      </c>
      <c r="F113" s="258">
        <f>C113*I30+D113*J30+E113*K30</f>
        <v>3.2861453548540902E-4</v>
      </c>
      <c r="G113" s="258">
        <f>((C113*(1-I30))-(D113*J30)+(E113*(1-K30)))*F30*G30</f>
        <v>1.6231184582308687E-5</v>
      </c>
      <c r="H113" s="261">
        <f t="shared" si="12"/>
        <v>0.94781499999999996</v>
      </c>
      <c r="I113" s="258">
        <f>G113*(1-H113)*(1-E30)</f>
        <v>7.623219306850015E-7</v>
      </c>
      <c r="J113" s="261">
        <v>0</v>
      </c>
      <c r="K113" s="258">
        <f>G113*(1-J113)*(1-E30)</f>
        <v>1.460806612407782E-5</v>
      </c>
      <c r="L113" s="171"/>
    </row>
    <row r="114" spans="2:12" hidden="1" x14ac:dyDescent="0.25">
      <c r="B114" s="257">
        <v>82</v>
      </c>
      <c r="C114" s="258">
        <f t="shared" si="10"/>
        <v>3.2861453548540902E-4</v>
      </c>
      <c r="D114" s="258">
        <f t="shared" si="11"/>
        <v>0</v>
      </c>
      <c r="E114" s="258">
        <f>0</f>
        <v>0</v>
      </c>
      <c r="F114" s="258">
        <f>C114*I30+D114*J30+E114*K30</f>
        <v>3.059471651739986E-4</v>
      </c>
      <c r="G114" s="258">
        <f>((C114*(1-I30))-(D114*J30)+(E114*(1-K30)))*F30*G30</f>
        <v>1.5111580207606943E-5</v>
      </c>
      <c r="H114" s="261">
        <f t="shared" si="12"/>
        <v>0.94781499999999996</v>
      </c>
      <c r="I114" s="258">
        <f>G114*(1-H114)*(1-E30)</f>
        <v>7.0973803182057201E-7</v>
      </c>
      <c r="J114" s="261">
        <v>0</v>
      </c>
      <c r="K114" s="258">
        <f>G114*(1-J114)*(1-E30)</f>
        <v>1.3600422186846249E-5</v>
      </c>
      <c r="L114" s="171"/>
    </row>
    <row r="115" spans="2:12" hidden="1" x14ac:dyDescent="0.25">
      <c r="B115" s="257">
        <v>83</v>
      </c>
      <c r="C115" s="258">
        <f t="shared" si="10"/>
        <v>3.059471651739986E-4</v>
      </c>
      <c r="D115" s="258">
        <f t="shared" si="11"/>
        <v>0</v>
      </c>
      <c r="E115" s="258">
        <f>0</f>
        <v>0</v>
      </c>
      <c r="F115" s="258">
        <f>C115*I30+D115*J30+E115*K30</f>
        <v>2.8484335831262134E-4</v>
      </c>
      <c r="G115" s="258">
        <f>((C115*(1-I30))-(D115*J30)+(E115*(1-K30)))*F30*G30</f>
        <v>1.4069204574251504E-5</v>
      </c>
      <c r="H115" s="261">
        <f t="shared" si="12"/>
        <v>0.94781499999999996</v>
      </c>
      <c r="I115" s="258">
        <f>G115*(1-H115)*(1-E30)</f>
        <v>6.607812966365837E-7</v>
      </c>
      <c r="J115" s="261">
        <v>0</v>
      </c>
      <c r="K115" s="258">
        <f>G115*(1-J115)*(1-E30)</f>
        <v>1.2662284116826354E-5</v>
      </c>
      <c r="L115" s="171"/>
    </row>
    <row r="116" spans="2:12" hidden="1" x14ac:dyDescent="0.25">
      <c r="B116" s="257">
        <v>84</v>
      </c>
      <c r="C116" s="258">
        <f t="shared" si="10"/>
        <v>2.8484335831262134E-4</v>
      </c>
      <c r="D116" s="258">
        <f t="shared" si="11"/>
        <v>0</v>
      </c>
      <c r="E116" s="258">
        <f>0</f>
        <v>0</v>
      </c>
      <c r="F116" s="258">
        <f>C116*I30+D116*J30+E116*K30</f>
        <v>2.6519526248484367E-4</v>
      </c>
      <c r="G116" s="258">
        <f>((C116*(1-I30))-(D116*J30)+(E116*(1-K30)))*F30*G30</f>
        <v>1.3098730551851759E-5</v>
      </c>
      <c r="H116" s="261">
        <f t="shared" si="12"/>
        <v>0.94781499999999996</v>
      </c>
      <c r="I116" s="258">
        <f>G116*(1-H116)*(1-E30)</f>
        <v>6.1520152846354607E-7</v>
      </c>
      <c r="J116" s="261">
        <v>0</v>
      </c>
      <c r="K116" s="258">
        <f>G116*(1-J116)*(1-E30)</f>
        <v>1.1788857496666583E-5</v>
      </c>
      <c r="L116" s="171"/>
    </row>
    <row r="117" spans="2:12" hidden="1" x14ac:dyDescent="0.25">
      <c r="B117" s="257">
        <v>85</v>
      </c>
      <c r="C117" s="258">
        <f t="shared" si="10"/>
        <v>2.6519526248484367E-4</v>
      </c>
      <c r="D117" s="258">
        <f t="shared" si="11"/>
        <v>0</v>
      </c>
      <c r="E117" s="258">
        <f>0</f>
        <v>0</v>
      </c>
      <c r="F117" s="258">
        <f>C117*I30+D117*J30+E117*K30</f>
        <v>2.4690246478283046E-4</v>
      </c>
      <c r="G117" s="258">
        <f>((C117*(1-I30))-(D117*J30)+(E117*(1-K30)))*F30*G30</f>
        <v>1.2195198468008823E-5</v>
      </c>
      <c r="H117" s="261">
        <f t="shared" si="12"/>
        <v>0.94781499999999996</v>
      </c>
      <c r="I117" s="258">
        <f>G117*(1-H117)*(1-E30)</f>
        <v>5.7276578884773676E-7</v>
      </c>
      <c r="J117" s="261">
        <v>0</v>
      </c>
      <c r="K117" s="258">
        <f>G117*(1-J117)*(1-E30)</f>
        <v>1.0975678621207942E-5</v>
      </c>
      <c r="L117" s="171"/>
    </row>
    <row r="118" spans="2:12" hidden="1" x14ac:dyDescent="0.25">
      <c r="B118" s="257">
        <v>86</v>
      </c>
      <c r="C118" s="258">
        <f t="shared" si="10"/>
        <v>2.4690246478283046E-4</v>
      </c>
      <c r="D118" s="258">
        <f t="shared" si="11"/>
        <v>0</v>
      </c>
      <c r="E118" s="258">
        <f>0</f>
        <v>0</v>
      </c>
      <c r="F118" s="258">
        <f>C118*I30+D118*J30+E118*K30</f>
        <v>2.298714786404634E-4</v>
      </c>
      <c r="G118" s="258">
        <f>((C118*(1-I30))-(D118*J30)+(E118*(1-K30)))*F30*G30</f>
        <v>1.1353990761578032E-5</v>
      </c>
      <c r="H118" s="261">
        <f t="shared" si="12"/>
        <v>0.94781499999999996</v>
      </c>
      <c r="I118" s="258">
        <f>G118*(1-H118)*(1-E30)</f>
        <v>5.3325720710365505E-7</v>
      </c>
      <c r="J118" s="261">
        <v>0</v>
      </c>
      <c r="K118" s="258">
        <f>G118*(1-J118)*(1-E30)</f>
        <v>1.0218591685420229E-5</v>
      </c>
      <c r="L118" s="171"/>
    </row>
    <row r="119" spans="2:12" hidden="1" x14ac:dyDescent="0.25">
      <c r="B119" s="257">
        <v>87</v>
      </c>
      <c r="C119" s="258">
        <f t="shared" si="10"/>
        <v>2.298714786404634E-4</v>
      </c>
      <c r="D119" s="258">
        <f t="shared" si="11"/>
        <v>0</v>
      </c>
      <c r="E119" s="258">
        <f>0</f>
        <v>0</v>
      </c>
      <c r="F119" s="258">
        <f>C119*I30+D119*J30+E119*K30</f>
        <v>2.140152660639926E-4</v>
      </c>
      <c r="G119" s="258">
        <f>((C119*(1-I30))-(D119*J30)+(E119*(1-K30)))*F30*G30</f>
        <v>1.0570808384313867E-5</v>
      </c>
      <c r="H119" s="261">
        <f t="shared" si="12"/>
        <v>0.94781499999999996</v>
      </c>
      <c r="I119" s="258">
        <f>G119*(1-H119)*(1-E30)</f>
        <v>4.9647387198187764E-7</v>
      </c>
      <c r="J119" s="261">
        <v>0</v>
      </c>
      <c r="K119" s="258">
        <f>G119*(1-J119)*(1-E30)</f>
        <v>9.5137275458824808E-6</v>
      </c>
      <c r="L119" s="171"/>
    </row>
    <row r="120" spans="2:12" hidden="1" x14ac:dyDescent="0.25">
      <c r="B120" s="257">
        <v>88</v>
      </c>
      <c r="C120" s="258">
        <f t="shared" si="10"/>
        <v>2.140152660639926E-4</v>
      </c>
      <c r="D120" s="258">
        <f t="shared" si="11"/>
        <v>0</v>
      </c>
      <c r="E120" s="258">
        <f>0</f>
        <v>0</v>
      </c>
      <c r="F120" s="258">
        <f>C120*I30+D120*J30+E120*K30</f>
        <v>1.9925279281854803E-4</v>
      </c>
      <c r="G120" s="258">
        <f>((C120*(1-I30))-(D120*J30)+(E120*(1-K30)))*F30*G30</f>
        <v>9.8416488302963813E-6</v>
      </c>
      <c r="H120" s="261">
        <f t="shared" si="12"/>
        <v>0.94781499999999996</v>
      </c>
      <c r="I120" s="258">
        <f>G120*(1-H120)*(1-E30)</f>
        <v>4.6222779978811533E-7</v>
      </c>
      <c r="J120" s="261">
        <v>0</v>
      </c>
      <c r="K120" s="258">
        <f>G120*(1-J120)*(1-E30)</f>
        <v>8.8574839472667432E-6</v>
      </c>
      <c r="L120" s="171"/>
    </row>
    <row r="121" spans="2:12" hidden="1" x14ac:dyDescent="0.25">
      <c r="B121" s="257">
        <v>89</v>
      </c>
      <c r="C121" s="258">
        <f t="shared" si="10"/>
        <v>1.9925279281854803E-4</v>
      </c>
      <c r="D121" s="258">
        <f t="shared" si="11"/>
        <v>0</v>
      </c>
      <c r="E121" s="258">
        <f>0</f>
        <v>0</v>
      </c>
      <c r="F121" s="258">
        <f>C121*I30+D121*J30+E121*K30</f>
        <v>1.8550861429726255E-4</v>
      </c>
      <c r="G121" s="258">
        <f>((C121*(1-I30))-(D121*J30)+(E121*(1-K30)))*F30*G30</f>
        <v>9.162785680856991E-6</v>
      </c>
      <c r="H121" s="261">
        <f t="shared" si="12"/>
        <v>0.94781499999999996</v>
      </c>
      <c r="I121" s="258">
        <f>G121*(1-H121)*(1-E30)</f>
        <v>4.3034397367997024E-7</v>
      </c>
      <c r="J121" s="261">
        <v>0</v>
      </c>
      <c r="K121" s="258">
        <f>G121*(1-J121)*(1-E30)</f>
        <v>8.2465071127712922E-6</v>
      </c>
      <c r="L121" s="171"/>
    </row>
    <row r="122" spans="2:12" hidden="1" x14ac:dyDescent="0.25">
      <c r="B122" s="257">
        <v>90</v>
      </c>
      <c r="C122" s="258">
        <f t="shared" si="10"/>
        <v>1.8550861429726255E-4</v>
      </c>
      <c r="D122" s="258">
        <f t="shared" si="11"/>
        <v>0</v>
      </c>
      <c r="E122" s="258">
        <f>0</f>
        <v>0</v>
      </c>
      <c r="F122" s="258">
        <f>C122*I30+D122*J30+E122*K30</f>
        <v>1.7271248995656259E-4</v>
      </c>
      <c r="G122" s="258">
        <f>((C122*(1-I30))-(D122*J30)+(E122*(1-K30)))*F30*G30</f>
        <v>8.5307495604666429E-6</v>
      </c>
      <c r="H122" s="261">
        <f t="shared" si="12"/>
        <v>0.94781499999999996</v>
      </c>
      <c r="I122" s="258">
        <f>G122*(1-H122)*(1-E30)</f>
        <v>4.0065944923165684E-7</v>
      </c>
      <c r="J122" s="261">
        <v>0</v>
      </c>
      <c r="K122" s="258">
        <f>G122*(1-J122)*(1-E30)</f>
        <v>7.6776746044199784E-6</v>
      </c>
      <c r="L122" s="171"/>
    </row>
    <row r="123" spans="2:12" hidden="1" x14ac:dyDescent="0.25">
      <c r="B123" s="257">
        <v>91</v>
      </c>
      <c r="C123" s="258">
        <f t="shared" si="10"/>
        <v>1.7271248995656259E-4</v>
      </c>
      <c r="D123" s="258">
        <f t="shared" si="11"/>
        <v>0</v>
      </c>
      <c r="E123" s="258">
        <f>0</f>
        <v>0</v>
      </c>
      <c r="F123" s="258">
        <f>C123*I30+D123*J30+E123*K30</f>
        <v>1.6079902434717238E-4</v>
      </c>
      <c r="G123" s="258">
        <f>((C123*(1-I30))-(D123*J30)+(E123*(1-K30)))*F30*G30</f>
        <v>7.9423104062601332E-6</v>
      </c>
      <c r="H123" s="261">
        <f t="shared" si="12"/>
        <v>0.94781499999999996</v>
      </c>
      <c r="I123" s="258">
        <f>G123*(1-H123)*(1-E30)</f>
        <v>3.7302252169561684E-7</v>
      </c>
      <c r="J123" s="261">
        <v>0</v>
      </c>
      <c r="K123" s="258">
        <f>G123*(1-J123)*(1-E30)</f>
        <v>7.14807936563412E-6</v>
      </c>
      <c r="L123" s="171"/>
    </row>
    <row r="124" spans="2:12" hidden="1" x14ac:dyDescent="0.25">
      <c r="B124" s="257">
        <v>92</v>
      </c>
      <c r="C124" s="258">
        <f t="shared" si="10"/>
        <v>1.6079902434717238E-4</v>
      </c>
      <c r="D124" s="258">
        <f t="shared" si="11"/>
        <v>0</v>
      </c>
      <c r="E124" s="258">
        <f>0</f>
        <v>0</v>
      </c>
      <c r="F124" s="258">
        <f>C124*I30+D124*J30+E124*K30</f>
        <v>1.4970733290629667E-4</v>
      </c>
      <c r="G124" s="258">
        <f>((C124*(1-I30))-(D124*J30)+(E124*(1-K30)))*F30*G30</f>
        <v>7.3944609605838013E-6</v>
      </c>
      <c r="H124" s="261">
        <f t="shared" si="12"/>
        <v>0.94781499999999996</v>
      </c>
      <c r="I124" s="258">
        <f>G124*(1-H124)*(1-E30)</f>
        <v>3.4729195070525934E-7</v>
      </c>
      <c r="J124" s="261">
        <v>0</v>
      </c>
      <c r="K124" s="258">
        <f>G124*(1-J124)*(1-E30)</f>
        <v>6.6550148645254217E-6</v>
      </c>
      <c r="L124" s="171"/>
    </row>
    <row r="125" spans="2:12" hidden="1" x14ac:dyDescent="0.25">
      <c r="B125" s="257">
        <v>93</v>
      </c>
      <c r="C125" s="258">
        <f t="shared" si="10"/>
        <v>1.4970733290629667E-4</v>
      </c>
      <c r="D125" s="258">
        <f t="shared" si="11"/>
        <v>0</v>
      </c>
      <c r="E125" s="258">
        <f>0</f>
        <v>0</v>
      </c>
      <c r="F125" s="258">
        <f>C125*I30+D125*J30+E125*K30</f>
        <v>1.3938073080299043E-4</v>
      </c>
      <c r="G125" s="258">
        <f>((C125*(1-I30))-(D125*J30)+(E125*(1-K30)))*F30*G30</f>
        <v>6.884401402204153E-6</v>
      </c>
      <c r="H125" s="261">
        <f t="shared" si="12"/>
        <v>0.94781499999999996</v>
      </c>
      <c r="I125" s="258">
        <f>G125*(1-H125)*(1-E30)</f>
        <v>3.2333623845662159E-7</v>
      </c>
      <c r="J125" s="261">
        <v>0</v>
      </c>
      <c r="K125" s="258">
        <f>G125*(1-J125)*(1-E30)</f>
        <v>6.1959612619837377E-6</v>
      </c>
      <c r="L125" s="171"/>
    </row>
    <row r="126" spans="2:12" hidden="1" x14ac:dyDescent="0.25">
      <c r="B126" s="257">
        <v>94</v>
      </c>
      <c r="C126" s="258">
        <f t="shared" si="10"/>
        <v>1.3938073080299043E-4</v>
      </c>
      <c r="D126" s="258">
        <f t="shared" si="11"/>
        <v>0</v>
      </c>
      <c r="E126" s="258">
        <f>0</f>
        <v>0</v>
      </c>
      <c r="F126" s="258">
        <f>C126*I30+D126*J30+E126*K30</f>
        <v>1.2976644324653913E-4</v>
      </c>
      <c r="G126" s="258">
        <f>((C126*(1-I30))-(D126*J30)+(E126*(1-K30)))*F30*G30</f>
        <v>6.409525037634201E-6</v>
      </c>
      <c r="H126" s="261">
        <f t="shared" si="12"/>
        <v>0.94781499999999996</v>
      </c>
      <c r="I126" s="258">
        <f>G126*(1-H126)*(1-E30)</f>
        <v>3.0103295768004694E-7</v>
      </c>
      <c r="J126" s="261">
        <v>0</v>
      </c>
      <c r="K126" s="258">
        <f>G126*(1-J126)*(1-E30)</f>
        <v>5.7685725338707807E-6</v>
      </c>
      <c r="L126" s="171"/>
    </row>
    <row r="127" spans="2:12" hidden="1" x14ac:dyDescent="0.25">
      <c r="B127" s="257">
        <v>95</v>
      </c>
      <c r="C127" s="258">
        <f t="shared" si="10"/>
        <v>1.2976644324653913E-4</v>
      </c>
      <c r="D127" s="258">
        <f t="shared" si="11"/>
        <v>0</v>
      </c>
      <c r="E127" s="258">
        <f>0</f>
        <v>0</v>
      </c>
      <c r="F127" s="258">
        <f>C127*I30+D127*J30+E127*K30</f>
        <v>1.2081533577736106E-4</v>
      </c>
      <c r="G127" s="258">
        <f>((C127*(1-I30))-(D127*J30)+(E127*(1-K30)))*F30*G30</f>
        <v>5.9674049794520447E-6</v>
      </c>
      <c r="H127" s="261">
        <f t="shared" si="12"/>
        <v>0.94781499999999996</v>
      </c>
      <c r="I127" s="258">
        <f>G127*(1-H127)*(1-E30)</f>
        <v>2.8026812596743469E-7</v>
      </c>
      <c r="J127" s="261">
        <v>0</v>
      </c>
      <c r="K127" s="258">
        <f>G127*(1-J127)*(1-E30)</f>
        <v>5.3706644815068403E-6</v>
      </c>
      <c r="L127" s="171"/>
    </row>
    <row r="128" spans="2:12" hidden="1" x14ac:dyDescent="0.25">
      <c r="B128" s="257">
        <v>96</v>
      </c>
      <c r="C128" s="258">
        <f t="shared" si="10"/>
        <v>1.2081533577736106E-4</v>
      </c>
      <c r="D128" s="258">
        <f t="shared" si="11"/>
        <v>0</v>
      </c>
      <c r="E128" s="258">
        <f>0</f>
        <v>0</v>
      </c>
      <c r="F128" s="258">
        <f>C128*I30+D128*J30+E128*K30</f>
        <v>1.1248166316206547E-4</v>
      </c>
      <c r="G128" s="258">
        <f>((C128*(1-I30))-(D128*J30)+(E128*(1-K30)))*F30*G30</f>
        <v>5.555781743530394E-6</v>
      </c>
      <c r="H128" s="261">
        <f t="shared" si="12"/>
        <v>0.94781499999999996</v>
      </c>
      <c r="I128" s="258">
        <f>G128*(1-H128)*(1-E30)</f>
        <v>2.6093562325752047E-7</v>
      </c>
      <c r="J128" s="261">
        <v>0</v>
      </c>
      <c r="K128" s="258">
        <f>G128*(1-J128)*(1-E30)</f>
        <v>5.0002035691773549E-6</v>
      </c>
      <c r="L128" s="171"/>
    </row>
    <row r="129" spans="2:20" hidden="1" x14ac:dyDescent="0.25">
      <c r="B129" s="257">
        <v>97</v>
      </c>
      <c r="C129" s="258">
        <f t="shared" si="10"/>
        <v>1.1248166316206547E-4</v>
      </c>
      <c r="D129" s="258">
        <f t="shared" si="11"/>
        <v>0</v>
      </c>
      <c r="E129" s="258">
        <f>0</f>
        <v>0</v>
      </c>
      <c r="F129" s="258">
        <f>C129*I30+D129*J30+E129*K30</f>
        <v>1.0472283560937774E-4</v>
      </c>
      <c r="G129" s="258">
        <f>((C129*(1-I30))-(D129*J30)+(E129*(1-K30)))*F30*G30</f>
        <v>5.172551701791816E-6</v>
      </c>
      <c r="H129" s="261">
        <f t="shared" si="12"/>
        <v>0.94781499999999996</v>
      </c>
      <c r="I129" s="258">
        <f>G129*(1-H129)*(1-E30)</f>
        <v>2.4293664950220546E-7</v>
      </c>
      <c r="J129" s="261">
        <v>0</v>
      </c>
      <c r="K129" s="258">
        <f>G129*(1-J129)*(1-E30)</f>
        <v>4.6552965316126347E-6</v>
      </c>
      <c r="L129" s="171"/>
    </row>
    <row r="130" spans="2:20" hidden="1" x14ac:dyDescent="0.25">
      <c r="B130" s="257">
        <v>98</v>
      </c>
      <c r="C130" s="258">
        <f t="shared" si="10"/>
        <v>1.0472283560937774E-4</v>
      </c>
      <c r="D130" s="258">
        <f t="shared" si="11"/>
        <v>0</v>
      </c>
      <c r="E130" s="258">
        <f>0</f>
        <v>0</v>
      </c>
      <c r="F130" s="258">
        <f>C130*I30+D130*J30+E130*K30</f>
        <v>9.7499201112162632E-5</v>
      </c>
      <c r="G130" s="258">
        <f>((C130*(1-I30))-(D130*J30)+(E130*(1-K30)))*F30*G30</f>
        <v>4.8157563314767455E-6</v>
      </c>
      <c r="H130" s="261">
        <f t="shared" si="12"/>
        <v>0.94781499999999996</v>
      </c>
      <c r="I130" s="258">
        <f>G130*(1-H130)*(1-E30)</f>
        <v>2.2617921974230273E-7</v>
      </c>
      <c r="J130" s="261">
        <v>0</v>
      </c>
      <c r="K130" s="258">
        <f>G130*(1-J130)*(1-E30)</f>
        <v>4.3341806983290715E-6</v>
      </c>
      <c r="L130" s="171"/>
    </row>
    <row r="131" spans="2:20" hidden="1" x14ac:dyDescent="0.25">
      <c r="B131" s="257">
        <v>99</v>
      </c>
      <c r="C131" s="258">
        <f t="shared" si="10"/>
        <v>9.7499201112162632E-5</v>
      </c>
      <c r="D131" s="258">
        <f t="shared" si="11"/>
        <v>0</v>
      </c>
      <c r="E131" s="258">
        <f>0</f>
        <v>0</v>
      </c>
      <c r="F131" s="258">
        <f>C131*I30+D131*J30+E131*K30</f>
        <v>9.0773842803189725E-5</v>
      </c>
      <c r="G131" s="258">
        <f>((C131*(1-I30))-(D131*J30)+(E131*(1-K30)))*F30*G30</f>
        <v>4.4835722059819395E-6</v>
      </c>
      <c r="H131" s="261">
        <f t="shared" si="12"/>
        <v>0.94781499999999996</v>
      </c>
      <c r="I131" s="258">
        <f>G131*(1-H131)*(1-E30)</f>
        <v>2.105776940122509E-7</v>
      </c>
      <c r="J131" s="261">
        <v>0</v>
      </c>
      <c r="K131" s="258">
        <f>G131*(1-J131)*(1-E30)</f>
        <v>4.0352149853837453E-6</v>
      </c>
      <c r="L131" s="171"/>
    </row>
    <row r="132" spans="2:20" x14ac:dyDescent="0.25">
      <c r="B132" s="262">
        <v>100</v>
      </c>
      <c r="C132" s="263">
        <f t="shared" si="10"/>
        <v>9.0773842803189725E-5</v>
      </c>
      <c r="D132" s="263">
        <f t="shared" si="11"/>
        <v>0</v>
      </c>
      <c r="E132" s="263">
        <f>0</f>
        <v>0</v>
      </c>
      <c r="F132" s="263">
        <f>C132*I30+D132*J30+E132*K30</f>
        <v>8.4512390289014438E-5</v>
      </c>
      <c r="G132" s="258">
        <f>((C132*(1-I30))-(D132*J30)+(E132*(1-K30)))*F30*G30</f>
        <v>4.1743016761168581E-6</v>
      </c>
      <c r="H132" s="264">
        <f t="shared" si="12"/>
        <v>0.94781499999999996</v>
      </c>
      <c r="I132" s="263">
        <f>G132*(1-H132)*(1-E30)</f>
        <v>1.9605233967134256E-7</v>
      </c>
      <c r="J132" s="261">
        <v>0</v>
      </c>
      <c r="K132" s="258">
        <f>G132*(1-J132)*(1-E30)</f>
        <v>3.7568715085051725E-6</v>
      </c>
      <c r="L132" s="171"/>
    </row>
    <row r="133" spans="2:20" x14ac:dyDescent="0.25">
      <c r="B133" s="463" t="s">
        <v>148</v>
      </c>
      <c r="C133" s="463"/>
      <c r="D133" s="463"/>
      <c r="E133" s="463"/>
      <c r="F133" s="463"/>
      <c r="G133" s="265">
        <f>SUM(G33:G132)</f>
        <v>6.6582886285916548E-2</v>
      </c>
      <c r="H133" s="266"/>
      <c r="I133" s="265">
        <f>SUM(I33:I132)</f>
        <v>1.2851092072618775E-2</v>
      </c>
      <c r="J133" s="266"/>
      <c r="K133" s="265">
        <f>SUM(K33:K132)</f>
        <v>1.789726500459958E-2</v>
      </c>
      <c r="L133" s="172"/>
    </row>
    <row r="134" spans="2:20" ht="50.1" customHeight="1" x14ac:dyDescent="0.25">
      <c r="L134" s="111"/>
    </row>
    <row r="135" spans="2:20" ht="18.75" x14ac:dyDescent="0.25">
      <c r="B135" s="456" t="s">
        <v>149</v>
      </c>
      <c r="C135" s="457"/>
      <c r="D135" s="457"/>
      <c r="E135" s="457"/>
      <c r="F135" s="457"/>
      <c r="G135" s="457"/>
      <c r="H135" s="457"/>
      <c r="I135" s="457"/>
      <c r="J135" s="457"/>
      <c r="K135" s="458"/>
      <c r="M135" s="158"/>
      <c r="N135" s="158"/>
      <c r="O135" s="158"/>
      <c r="P135" s="158"/>
    </row>
    <row r="136" spans="2:20" ht="30" x14ac:dyDescent="0.25">
      <c r="B136" s="467"/>
      <c r="C136" s="205" t="s">
        <v>224</v>
      </c>
      <c r="D136" s="205" t="s">
        <v>136</v>
      </c>
      <c r="E136" s="205" t="s">
        <v>137</v>
      </c>
      <c r="F136" s="205" t="s">
        <v>324</v>
      </c>
      <c r="G136" s="205" t="s">
        <v>325</v>
      </c>
      <c r="H136" s="205" t="s">
        <v>138</v>
      </c>
      <c r="I136" s="205" t="s">
        <v>139</v>
      </c>
      <c r="J136" s="205" t="s">
        <v>140</v>
      </c>
      <c r="K136" s="205" t="s">
        <v>141</v>
      </c>
      <c r="P136" s="156"/>
    </row>
    <row r="137" spans="2:20" x14ac:dyDescent="0.25">
      <c r="B137" s="468"/>
      <c r="C137" s="252">
        <f>AvoidedEmissions!E11*AvoidedEmissions!F11*T2MT</f>
        <v>0.38101759080000003</v>
      </c>
      <c r="D137" s="253">
        <f>AvoidedEmissions!G11</f>
        <v>0.19</v>
      </c>
      <c r="E137" s="254">
        <v>0.1</v>
      </c>
      <c r="F137" s="254">
        <v>0.5</v>
      </c>
      <c r="G137" s="255">
        <f>Background!E13/Background!E12</f>
        <v>1.3333333333333333</v>
      </c>
      <c r="H137" s="256">
        <v>6</v>
      </c>
      <c r="I137" s="255">
        <f>EXP(-D137)</f>
        <v>0.82695913394336229</v>
      </c>
      <c r="J137" s="255">
        <f>((1/D137)*(EXP(-(D137*(1-H137/12)))-EXP(-D137))-((H137/12)*EXP(-D137)))</f>
        <v>2.027727789605116E-2</v>
      </c>
      <c r="K137" s="255">
        <f>((1/D137)*(1-EXP(-(D137*(1-H137/12))))+(H137/12))</f>
        <v>0.976984555430361</v>
      </c>
      <c r="P137" s="157"/>
    </row>
    <row r="138" spans="2:20" x14ac:dyDescent="0.25">
      <c r="B138" s="464" t="s">
        <v>142</v>
      </c>
      <c r="C138" s="465"/>
      <c r="D138" s="465"/>
      <c r="E138" s="465"/>
      <c r="F138" s="465"/>
      <c r="G138" s="466"/>
      <c r="H138" s="464" t="s">
        <v>126</v>
      </c>
      <c r="I138" s="466"/>
      <c r="J138" s="464" t="s">
        <v>127</v>
      </c>
      <c r="K138" s="466"/>
      <c r="P138" s="165"/>
    </row>
    <row r="139" spans="2:20" x14ac:dyDescent="0.25">
      <c r="B139" s="205" t="s">
        <v>125</v>
      </c>
      <c r="C139" s="205" t="s">
        <v>143</v>
      </c>
      <c r="D139" s="205" t="s">
        <v>144</v>
      </c>
      <c r="E139" s="205" t="s">
        <v>145</v>
      </c>
      <c r="F139" s="205" t="s">
        <v>146</v>
      </c>
      <c r="G139" s="205" t="s">
        <v>225</v>
      </c>
      <c r="H139" s="205" t="s">
        <v>147</v>
      </c>
      <c r="I139" s="251" t="s">
        <v>226</v>
      </c>
      <c r="J139" s="205" t="s">
        <v>147</v>
      </c>
      <c r="K139" s="205" t="s">
        <v>226</v>
      </c>
      <c r="O139" s="146"/>
    </row>
    <row r="140" spans="2:20" x14ac:dyDescent="0.25">
      <c r="B140" s="267">
        <v>1</v>
      </c>
      <c r="C140" s="260">
        <v>0</v>
      </c>
      <c r="D140" s="260">
        <v>0</v>
      </c>
      <c r="E140" s="260">
        <f>C137</f>
        <v>0.38101759080000003</v>
      </c>
      <c r="F140" s="260">
        <f>C140*I137+D140*J137+E140*K137</f>
        <v>0.37224830155888522</v>
      </c>
      <c r="G140" s="260">
        <f>((C140*(1-I137))-(D140*J137)+(E140*(1-K137)))*F137*G137</f>
        <v>5.8461928274098629E-3</v>
      </c>
      <c r="H140" s="259">
        <v>0</v>
      </c>
      <c r="I140" s="260">
        <f>G140*(1-H140)*(1-E137)</f>
        <v>5.2615735446688771E-3</v>
      </c>
      <c r="J140" s="259">
        <v>0</v>
      </c>
      <c r="K140" s="260">
        <f>G140*(1-J140)*(1-E137)</f>
        <v>5.2615735446688771E-3</v>
      </c>
      <c r="O140" s="146"/>
    </row>
    <row r="141" spans="2:20" ht="18" x14ac:dyDescent="0.25">
      <c r="B141" s="257">
        <v>2</v>
      </c>
      <c r="C141" s="258">
        <f t="shared" ref="C141:C204" si="13">F140</f>
        <v>0.37224830155888522</v>
      </c>
      <c r="D141" s="258">
        <f t="shared" ref="D141:D157" si="14">E140</f>
        <v>0.38101759080000003</v>
      </c>
      <c r="E141" s="258">
        <f>0</f>
        <v>0</v>
      </c>
      <c r="F141" s="258">
        <f>C141*I137+D141*J137+E141*K137</f>
        <v>0.31556013264095878</v>
      </c>
      <c r="G141" s="258">
        <f>((C141*(1-I137))-(D141*J137)+(E141*(1-K137)))*F137*G137</f>
        <v>3.7792112611950951E-2</v>
      </c>
      <c r="H141" s="261">
        <v>0</v>
      </c>
      <c r="I141" s="258">
        <f>G141*(1-H141)*(1-E137)</f>
        <v>3.401290135075586E-2</v>
      </c>
      <c r="J141" s="261">
        <v>0</v>
      </c>
      <c r="K141" s="258">
        <f>G141*(1-J141)*(1-E137)</f>
        <v>3.401290135075586E-2</v>
      </c>
      <c r="O141" s="160"/>
      <c r="P141" s="161"/>
      <c r="Q141" s="160"/>
      <c r="R141" s="161"/>
      <c r="S141" s="160"/>
      <c r="T141" s="161"/>
    </row>
    <row r="142" spans="2:20" x14ac:dyDescent="0.25">
      <c r="B142" s="257">
        <v>3</v>
      </c>
      <c r="C142" s="258">
        <f t="shared" si="13"/>
        <v>0.31556013264095878</v>
      </c>
      <c r="D142" s="258">
        <f t="shared" si="14"/>
        <v>0</v>
      </c>
      <c r="E142" s="258">
        <f>0</f>
        <v>0</v>
      </c>
      <c r="F142" s="258">
        <f>C142*I137+D142*J137+E142*K137</f>
        <v>0.26095533399581983</v>
      </c>
      <c r="G142" s="258">
        <f>((C142*(1-I137))-(D142*J137)+(E142*(1-K137)))*F137*G137</f>
        <v>3.640319909675932E-2</v>
      </c>
      <c r="H142" s="261">
        <f>0.5*0.9977</f>
        <v>0.49885000000000002</v>
      </c>
      <c r="I142" s="258">
        <f>G142*(1-H142)*(1-E137)</f>
        <v>1.6419116904606838E-2</v>
      </c>
      <c r="J142" s="261">
        <f>0.5*0.9977</f>
        <v>0.49885000000000002</v>
      </c>
      <c r="K142" s="258">
        <f>G142*(1-J142)*(1-E137)</f>
        <v>1.6419116904606838E-2</v>
      </c>
      <c r="O142" s="166"/>
      <c r="Q142" s="167"/>
      <c r="R142" s="167"/>
      <c r="S142" s="166"/>
    </row>
    <row r="143" spans="2:20" hidden="1" x14ac:dyDescent="0.25">
      <c r="B143" s="257">
        <v>4</v>
      </c>
      <c r="C143" s="258">
        <f t="shared" si="13"/>
        <v>0.26095533399581983</v>
      </c>
      <c r="D143" s="258">
        <f t="shared" si="14"/>
        <v>0</v>
      </c>
      <c r="E143" s="258">
        <f>0</f>
        <v>0</v>
      </c>
      <c r="F143" s="258">
        <f>C143*I137+D143*J137+E143*K137</f>
        <v>0.21579939699908401</v>
      </c>
      <c r="G143" s="258">
        <f>((C143*(1-I137))-(D143*J137)+(E143*(1-K137)))*F137*G137</f>
        <v>3.0103957997823873E-2</v>
      </c>
      <c r="H143" s="261">
        <f t="shared" ref="H143:H149" si="15">0.75*0.9977</f>
        <v>0.74827500000000002</v>
      </c>
      <c r="I143" s="258">
        <f>G143*(1-H143)*(1-E137)</f>
        <v>6.8201269443019926E-3</v>
      </c>
      <c r="J143" s="261">
        <f>0.7*0.9977</f>
        <v>0.69838999999999996</v>
      </c>
      <c r="K143" s="258">
        <f>G143*(1-J143)*(1-E137)</f>
        <v>8.1716892945512942E-3</v>
      </c>
      <c r="M143" s="164"/>
      <c r="O143" s="166"/>
      <c r="Q143" s="167"/>
      <c r="R143" s="167"/>
      <c r="S143" s="166"/>
    </row>
    <row r="144" spans="2:20" hidden="1" x14ac:dyDescent="0.25">
      <c r="B144" s="257">
        <v>5</v>
      </c>
      <c r="C144" s="258">
        <f t="shared" si="13"/>
        <v>0.21579939699908401</v>
      </c>
      <c r="D144" s="258">
        <f t="shared" si="14"/>
        <v>0</v>
      </c>
      <c r="E144" s="258">
        <f>0</f>
        <v>0</v>
      </c>
      <c r="F144" s="258">
        <f>C144*I137+D144*J137+E144*K137</f>
        <v>0.17845728244786233</v>
      </c>
      <c r="G144" s="258">
        <f>((C144*(1-I137))-(D144*J137)+(E144*(1-K137)))*F137*G137</f>
        <v>2.4894743034147786E-2</v>
      </c>
      <c r="H144" s="261">
        <f t="shared" si="15"/>
        <v>0.74827500000000002</v>
      </c>
      <c r="I144" s="258">
        <f>G144*(1-H144)*(1-E137)</f>
        <v>5.6399662712437659E-3</v>
      </c>
      <c r="J144" s="261">
        <f>0.7*0.9977</f>
        <v>0.69838999999999996</v>
      </c>
      <c r="K144" s="258">
        <f>G144*(1-J144)*(1-E137)</f>
        <v>6.7576531018763838E-3</v>
      </c>
      <c r="M144" s="164"/>
      <c r="O144" s="166"/>
      <c r="Q144" s="167"/>
      <c r="R144" s="167"/>
      <c r="S144" s="166"/>
    </row>
    <row r="145" spans="2:19" hidden="1" x14ac:dyDescent="0.25">
      <c r="B145" s="257">
        <v>6</v>
      </c>
      <c r="C145" s="258">
        <f t="shared" si="13"/>
        <v>0.17845728244786233</v>
      </c>
      <c r="D145" s="258">
        <f t="shared" si="14"/>
        <v>0</v>
      </c>
      <c r="E145" s="258">
        <f>0</f>
        <v>0</v>
      </c>
      <c r="F145" s="258">
        <f>C145*I137+D145*J137+E145*K137</f>
        <v>0.14757687973897021</v>
      </c>
      <c r="G145" s="258">
        <f>((C145*(1-I137))-(D145*J137)+(E145*(1-K137)))*F137*G137</f>
        <v>2.0586935139261405E-2</v>
      </c>
      <c r="H145" s="261">
        <f t="shared" si="15"/>
        <v>0.74827500000000002</v>
      </c>
      <c r="I145" s="258">
        <f>G145*(1-H145)*(1-E137)</f>
        <v>4.664021623137519E-3</v>
      </c>
      <c r="J145" s="261">
        <f t="shared" ref="J145:J199" si="16">0.8*0.9977</f>
        <v>0.79816000000000009</v>
      </c>
      <c r="K145" s="258">
        <f>G145*(1-J145)*(1-E137)</f>
        <v>3.7397402896576682E-3</v>
      </c>
      <c r="M145" s="159"/>
      <c r="O145" s="166"/>
      <c r="Q145" s="167"/>
      <c r="R145" s="167"/>
      <c r="S145" s="166"/>
    </row>
    <row r="146" spans="2:19" hidden="1" x14ac:dyDescent="0.25">
      <c r="B146" s="257">
        <v>7</v>
      </c>
      <c r="C146" s="258">
        <f t="shared" si="13"/>
        <v>0.14757687973897021</v>
      </c>
      <c r="D146" s="258">
        <f t="shared" si="14"/>
        <v>0</v>
      </c>
      <c r="E146" s="258">
        <f>0</f>
        <v>0</v>
      </c>
      <c r="F146" s="258">
        <f>C146*I137+D146*J137+E146*K137</f>
        <v>0.12204004865900253</v>
      </c>
      <c r="G146" s="258">
        <f>((C146*(1-I137))-(D146*J137)+(E146*(1-K137)))*F137*G137</f>
        <v>1.7024554053311783E-2</v>
      </c>
      <c r="H146" s="261">
        <f t="shared" si="15"/>
        <v>0.74827500000000002</v>
      </c>
      <c r="I146" s="258">
        <f>G146*(1-H146)*(1-E137)</f>
        <v>3.8569552821629176E-3</v>
      </c>
      <c r="J146" s="261">
        <f t="shared" si="16"/>
        <v>0.79816000000000009</v>
      </c>
      <c r="K146" s="258">
        <f>G146*(1-J146)*(1-E137)</f>
        <v>3.0926123911084041E-3</v>
      </c>
      <c r="M146" s="159"/>
      <c r="O146" s="168"/>
      <c r="P146" s="169"/>
      <c r="Q146" s="169"/>
      <c r="R146" s="169"/>
      <c r="S146" s="168"/>
    </row>
    <row r="147" spans="2:19" hidden="1" x14ac:dyDescent="0.25">
      <c r="B147" s="257">
        <v>8</v>
      </c>
      <c r="C147" s="258">
        <f t="shared" si="13"/>
        <v>0.12204004865900253</v>
      </c>
      <c r="D147" s="258">
        <f t="shared" si="14"/>
        <v>0</v>
      </c>
      <c r="E147" s="258">
        <f>0</f>
        <v>0</v>
      </c>
      <c r="F147" s="258">
        <f>C147*I137+D147*J137+E147*K137</f>
        <v>0.10092213294545453</v>
      </c>
      <c r="G147" s="258">
        <f>((C147*(1-I137))-(D147*J137)+(E147*(1-K137)))*F137*G137</f>
        <v>1.407861047569867E-2</v>
      </c>
      <c r="H147" s="261">
        <f t="shared" si="15"/>
        <v>0.74827500000000002</v>
      </c>
      <c r="I147" s="258">
        <f>G147*(1-H147)*(1-E137)</f>
        <v>3.1895443997957225E-3</v>
      </c>
      <c r="J147" s="261">
        <f t="shared" si="16"/>
        <v>0.79816000000000009</v>
      </c>
      <c r="K147" s="258">
        <f>G147*(1-J147)*(1-E137)</f>
        <v>2.5574640645735164E-3</v>
      </c>
      <c r="M147" s="159"/>
      <c r="O147" s="146"/>
    </row>
    <row r="148" spans="2:19" hidden="1" x14ac:dyDescent="0.25">
      <c r="B148" s="257">
        <v>9</v>
      </c>
      <c r="C148" s="258">
        <f t="shared" si="13"/>
        <v>0.10092213294545453</v>
      </c>
      <c r="D148" s="258">
        <f t="shared" si="14"/>
        <v>0</v>
      </c>
      <c r="E148" s="258">
        <f>0</f>
        <v>0</v>
      </c>
      <c r="F148" s="258">
        <f>C148*I137+D148*J137+E148*K137</f>
        <v>8.3458479656289955E-2</v>
      </c>
      <c r="G148" s="258">
        <f>((C148*(1-I137))-(D148*J137)+(E148*(1-K137)))*F137*G137</f>
        <v>1.164243552610972E-2</v>
      </c>
      <c r="H148" s="261">
        <f t="shared" si="15"/>
        <v>0.74827500000000002</v>
      </c>
      <c r="I148" s="258">
        <f>G148*(1-H148)*(1-E137)</f>
        <v>2.6376228745289719E-3</v>
      </c>
      <c r="J148" s="261">
        <f t="shared" si="16"/>
        <v>0.79816000000000009</v>
      </c>
      <c r="K148" s="258">
        <f>G148*(1-J148)*(1-E137)</f>
        <v>2.1149182679309863E-3</v>
      </c>
      <c r="L148" s="164"/>
      <c r="M148" s="164"/>
    </row>
    <row r="149" spans="2:19" hidden="1" x14ac:dyDescent="0.25">
      <c r="B149" s="257">
        <v>10</v>
      </c>
      <c r="C149" s="258">
        <f t="shared" si="13"/>
        <v>8.3458479656289955E-2</v>
      </c>
      <c r="D149" s="258">
        <f t="shared" si="14"/>
        <v>0</v>
      </c>
      <c r="E149" s="258">
        <f>0</f>
        <v>0</v>
      </c>
      <c r="F149" s="258">
        <f>C149*I137+D149*J137+E149*K137</f>
        <v>6.9016752056795264E-2</v>
      </c>
      <c r="G149" s="258">
        <f>((C149*(1-I137))-(D149*J137)+(E149*(1-K137)))*F137*G137</f>
        <v>9.6278183996631288E-3</v>
      </c>
      <c r="H149" s="261">
        <f t="shared" si="15"/>
        <v>0.74827500000000002</v>
      </c>
      <c r="I149" s="258">
        <f>G149*(1-H149)*(1-E137)</f>
        <v>2.1812063279896808E-3</v>
      </c>
      <c r="J149" s="261">
        <f t="shared" si="16"/>
        <v>0.79816000000000009</v>
      </c>
      <c r="K149" s="258">
        <f>G149*(1-J149)*(1-E137)</f>
        <v>1.7489509792092046E-3</v>
      </c>
    </row>
    <row r="150" spans="2:19" hidden="1" x14ac:dyDescent="0.25">
      <c r="B150" s="257">
        <v>11</v>
      </c>
      <c r="C150" s="258">
        <f t="shared" si="13"/>
        <v>6.9016752056795264E-2</v>
      </c>
      <c r="D150" s="258">
        <f t="shared" si="14"/>
        <v>0</v>
      </c>
      <c r="E150" s="258">
        <f>0</f>
        <v>0</v>
      </c>
      <c r="F150" s="258">
        <f>C150*I137+D150*J137+E150*K137</f>
        <v>5.7074033508471178E-2</v>
      </c>
      <c r="G150" s="258">
        <f>((C150*(1-I137))-(D150*J137)+(E150*(1-K137)))*F137*G137</f>
        <v>7.961812365549388E-3</v>
      </c>
      <c r="H150" s="261">
        <f t="shared" ref="H150:H213" si="17">0.95*0.9977</f>
        <v>0.94781499999999996</v>
      </c>
      <c r="I150" s="258">
        <f>G150*(1-H150)*(1-E137)</f>
        <v>3.7393846046657561E-4</v>
      </c>
      <c r="J150" s="261">
        <f t="shared" si="16"/>
        <v>0.79816000000000009</v>
      </c>
      <c r="K150" s="258">
        <f>G150*(1-J150)*(1-E137)</f>
        <v>1.446310987076239E-3</v>
      </c>
    </row>
    <row r="151" spans="2:19" hidden="1" x14ac:dyDescent="0.25">
      <c r="B151" s="257">
        <v>12</v>
      </c>
      <c r="C151" s="258">
        <f t="shared" si="13"/>
        <v>5.7074033508471178E-2</v>
      </c>
      <c r="D151" s="258">
        <f t="shared" si="14"/>
        <v>0</v>
      </c>
      <c r="E151" s="258">
        <f>0</f>
        <v>0</v>
      </c>
      <c r="F151" s="258">
        <f>C151*I137+D151*J137+E151*K137</f>
        <v>4.7197893320819764E-2</v>
      </c>
      <c r="G151" s="258">
        <f>((C151*(1-I137))-(D151*J137)+(E151*(1-K137)))*F137*G137</f>
        <v>6.5840934584342758E-3</v>
      </c>
      <c r="H151" s="261">
        <f t="shared" si="17"/>
        <v>0.94781499999999996</v>
      </c>
      <c r="I151" s="258">
        <f>G151*(1-H151)*(1-E137)</f>
        <v>3.0923182541555365E-4</v>
      </c>
      <c r="J151" s="261">
        <f t="shared" si="16"/>
        <v>0.79816000000000009</v>
      </c>
      <c r="K151" s="258">
        <f>G151*(1-J151)*(1-E137)</f>
        <v>1.1960400812853363E-3</v>
      </c>
    </row>
    <row r="152" spans="2:19" hidden="1" x14ac:dyDescent="0.25">
      <c r="B152" s="257">
        <v>13</v>
      </c>
      <c r="C152" s="258">
        <f t="shared" si="13"/>
        <v>4.7197893320819764E-2</v>
      </c>
      <c r="D152" s="258">
        <f t="shared" si="14"/>
        <v>0</v>
      </c>
      <c r="E152" s="258">
        <f>0</f>
        <v>0</v>
      </c>
      <c r="F152" s="258">
        <f>C152*I137+D152*J137+E152*K137</f>
        <v>3.9030728984536314E-2</v>
      </c>
      <c r="G152" s="258">
        <f>((C152*(1-I137))-(D152*J137)+(E152*(1-K137)))*F137*G137</f>
        <v>5.4447762241889653E-3</v>
      </c>
      <c r="H152" s="261">
        <f t="shared" si="17"/>
        <v>0.94781499999999996</v>
      </c>
      <c r="I152" s="258">
        <f>G152*(1-H152)*(1-E137)</f>
        <v>2.5572208253337125E-4</v>
      </c>
      <c r="J152" s="261">
        <f t="shared" si="16"/>
        <v>0.79816000000000009</v>
      </c>
      <c r="K152" s="258">
        <f>G152*(1-J152)*(1-E137)</f>
        <v>9.8907626978127021E-4</v>
      </c>
    </row>
    <row r="153" spans="2:19" hidden="1" x14ac:dyDescent="0.25">
      <c r="B153" s="257">
        <v>14</v>
      </c>
      <c r="C153" s="258">
        <f t="shared" si="13"/>
        <v>3.9030728984536314E-2</v>
      </c>
      <c r="D153" s="258">
        <f t="shared" si="14"/>
        <v>0</v>
      </c>
      <c r="E153" s="258">
        <f>0</f>
        <v>0</v>
      </c>
      <c r="F153" s="258">
        <f>C153*I137+D153*J137+E153*K137</f>
        <v>3.2276817838230241E-2</v>
      </c>
      <c r="G153" s="258">
        <f>((C153*(1-I137))-(D153*J137)+(E153*(1-K137)))*F137*G137</f>
        <v>4.5026074308707163E-3</v>
      </c>
      <c r="H153" s="261">
        <f t="shared" si="17"/>
        <v>0.94781499999999996</v>
      </c>
      <c r="I153" s="258">
        <f>G153*(1-H153)*(1-E137)</f>
        <v>2.1147171190198966E-4</v>
      </c>
      <c r="J153" s="261">
        <f t="shared" si="16"/>
        <v>0.79816000000000009</v>
      </c>
      <c r="K153" s="258">
        <f>G153*(1-J153)*(1-E137)</f>
        <v>8.179256554622505E-4</v>
      </c>
    </row>
    <row r="154" spans="2:19" hidden="1" x14ac:dyDescent="0.25">
      <c r="B154" s="257">
        <v>15</v>
      </c>
      <c r="C154" s="258">
        <f t="shared" si="13"/>
        <v>3.2276817838230241E-2</v>
      </c>
      <c r="D154" s="258">
        <f t="shared" si="14"/>
        <v>0</v>
      </c>
      <c r="E154" s="258">
        <f>0</f>
        <v>0</v>
      </c>
      <c r="F154" s="258">
        <f>C154*I137+D154*J137+E154*K137</f>
        <v>2.6691609325950546E-2</v>
      </c>
      <c r="G154" s="258">
        <f>((C154*(1-I137))-(D154*J137)+(E154*(1-K137)))*F137*G137</f>
        <v>3.7234723415197958E-3</v>
      </c>
      <c r="H154" s="261">
        <f t="shared" si="17"/>
        <v>0.94781499999999996</v>
      </c>
      <c r="I154" s="258">
        <f>G154*(1-H154)*(1-E137)</f>
        <v>1.748784637279896E-4</v>
      </c>
      <c r="J154" s="261">
        <f t="shared" si="16"/>
        <v>0.79816000000000009</v>
      </c>
      <c r="K154" s="258">
        <f>G154*(1-J154)*(1-E137)</f>
        <v>6.7639109167111973E-4</v>
      </c>
    </row>
    <row r="155" spans="2:19" hidden="1" x14ac:dyDescent="0.25">
      <c r="B155" s="257">
        <v>16</v>
      </c>
      <c r="C155" s="258">
        <f t="shared" si="13"/>
        <v>2.6691609325950546E-2</v>
      </c>
      <c r="D155" s="258">
        <f t="shared" si="14"/>
        <v>0</v>
      </c>
      <c r="E155" s="258">
        <f>0</f>
        <v>0</v>
      </c>
      <c r="F155" s="258">
        <f>C155*I137+D155*J137+E155*K137</f>
        <v>2.2072870131742636E-2</v>
      </c>
      <c r="G155" s="258">
        <f>((C155*(1-I137))-(D155*J137)+(E155*(1-K137)))*F137*G137</f>
        <v>3.0791594628052734E-3</v>
      </c>
      <c r="H155" s="261">
        <f t="shared" si="17"/>
        <v>0.94781499999999996</v>
      </c>
      <c r="I155" s="258">
        <f>G155*(1-H155)*(1-E137)</f>
        <v>1.4461734290984398E-4</v>
      </c>
      <c r="J155" s="261">
        <f t="shared" si="16"/>
        <v>0.79816000000000009</v>
      </c>
      <c r="K155" s="258">
        <f>G155*(1-J155)*(1-E137)</f>
        <v>5.5934779137535454E-4</v>
      </c>
    </row>
    <row r="156" spans="2:19" hidden="1" x14ac:dyDescent="0.25">
      <c r="B156" s="257">
        <v>17</v>
      </c>
      <c r="C156" s="258">
        <f t="shared" si="13"/>
        <v>2.2072870131742636E-2</v>
      </c>
      <c r="D156" s="258">
        <f t="shared" si="14"/>
        <v>0</v>
      </c>
      <c r="E156" s="258">
        <f>0</f>
        <v>0</v>
      </c>
      <c r="F156" s="258">
        <f>C156*I137+D156*J137+E156*K137</f>
        <v>1.8253361567790199E-2</v>
      </c>
      <c r="G156" s="258">
        <f>((C156*(1-I137))-(D156*J137)+(E156*(1-K137)))*F137*G137</f>
        <v>2.5463390426349575E-3</v>
      </c>
      <c r="H156" s="261">
        <f t="shared" si="17"/>
        <v>0.94781499999999996</v>
      </c>
      <c r="I156" s="258">
        <f>G156*(1-H156)*(1-E137)</f>
        <v>1.1959263264591482E-4</v>
      </c>
      <c r="J156" s="261">
        <f t="shared" si="16"/>
        <v>0.79816000000000009</v>
      </c>
      <c r="K156" s="258">
        <f>G156*(1-J156)*(1-E137)</f>
        <v>4.6255776512889568E-4</v>
      </c>
    </row>
    <row r="157" spans="2:19" hidden="1" x14ac:dyDescent="0.25">
      <c r="B157" s="257">
        <v>18</v>
      </c>
      <c r="C157" s="258">
        <f t="shared" si="13"/>
        <v>1.8253361567790199E-2</v>
      </c>
      <c r="D157" s="258">
        <f t="shared" si="14"/>
        <v>0</v>
      </c>
      <c r="E157" s="258">
        <f>0</f>
        <v>0</v>
      </c>
      <c r="F157" s="258">
        <f>C157*I137+D157*J137+E157*K137</f>
        <v>1.5094784073654837E-2</v>
      </c>
      <c r="G157" s="258">
        <f>((C157*(1-I137))-(D157*J137)+(E157*(1-K137)))*F137*G137</f>
        <v>2.1057183294235747E-3</v>
      </c>
      <c r="H157" s="261">
        <f t="shared" si="17"/>
        <v>0.94781499999999996</v>
      </c>
      <c r="I157" s="258">
        <f>G157*(1-H157)*(1-E137)</f>
        <v>9.8898219918872393E-5</v>
      </c>
      <c r="J157" s="261">
        <f t="shared" si="16"/>
        <v>0.79816000000000009</v>
      </c>
      <c r="K157" s="258">
        <f>G157*(1-J157)*(1-E137)</f>
        <v>3.8251636884976872E-4</v>
      </c>
    </row>
    <row r="158" spans="2:19" hidden="1" x14ac:dyDescent="0.25">
      <c r="B158" s="257">
        <v>19</v>
      </c>
      <c r="C158" s="258">
        <f t="shared" si="13"/>
        <v>1.5094784073654837E-2</v>
      </c>
      <c r="D158" s="258">
        <f>E157</f>
        <v>0</v>
      </c>
      <c r="E158" s="258">
        <f>0</f>
        <v>0</v>
      </c>
      <c r="F158" s="258">
        <f>C158*I137+D158*J137+E158*K137</f>
        <v>1.2482769564611662E-2</v>
      </c>
      <c r="G158" s="258">
        <f>((C158*(1-I137))-(D158*J137)+(E158*(1-K137)))*F137*G137</f>
        <v>1.7413430060287832E-3</v>
      </c>
      <c r="H158" s="261">
        <f t="shared" si="17"/>
        <v>0.94781499999999996</v>
      </c>
      <c r="I158" s="258">
        <f>G158*(1-H158)*(1-E137)</f>
        <v>8.1784786292650905E-5</v>
      </c>
      <c r="J158" s="261">
        <f t="shared" si="16"/>
        <v>0.79816000000000009</v>
      </c>
      <c r="K158" s="258">
        <f>G158*(1-J158)*(1-E137)</f>
        <v>3.1632540510316451E-4</v>
      </c>
    </row>
    <row r="159" spans="2:19" hidden="1" x14ac:dyDescent="0.25">
      <c r="B159" s="257">
        <v>20</v>
      </c>
      <c r="C159" s="258">
        <f t="shared" si="13"/>
        <v>1.2482769564611662E-2</v>
      </c>
      <c r="D159" s="258">
        <f t="shared" ref="D159:D222" si="18">E158</f>
        <v>0</v>
      </c>
      <c r="E159" s="258">
        <f>0</f>
        <v>0</v>
      </c>
      <c r="F159" s="258">
        <f>C159*I137+D159*J137+E159*K137</f>
        <v>1.0322740308365821E-2</v>
      </c>
      <c r="G159" s="258">
        <f>((C159*(1-I137))-(D159*J137)+(E159*(1-K137)))*F137*G137</f>
        <v>1.4400195041638936E-3</v>
      </c>
      <c r="H159" s="261">
        <f t="shared" si="17"/>
        <v>0.94781499999999996</v>
      </c>
      <c r="I159" s="258">
        <f>G159*(1-H159)*(1-E137)</f>
        <v>6.7632676042313566E-5</v>
      </c>
      <c r="J159" s="261">
        <f t="shared" si="16"/>
        <v>0.79816000000000009</v>
      </c>
      <c r="K159" s="258">
        <f>G159*(1-J159)*(1-E137)</f>
        <v>2.6158818304839615E-4</v>
      </c>
    </row>
    <row r="160" spans="2:19" hidden="1" x14ac:dyDescent="0.25">
      <c r="B160" s="257">
        <v>21</v>
      </c>
      <c r="C160" s="258">
        <f t="shared" si="13"/>
        <v>1.0322740308365821E-2</v>
      </c>
      <c r="D160" s="258">
        <f t="shared" si="18"/>
        <v>0</v>
      </c>
      <c r="E160" s="258">
        <f>0</f>
        <v>0</v>
      </c>
      <c r="F160" s="258">
        <f>C160*I137+D160*J137+E160*K137</f>
        <v>8.5364843853284363E-3</v>
      </c>
      <c r="G160" s="258">
        <f>((C160*(1-I137))-(D160*J137)+(E160*(1-K137)))*F137*G137</f>
        <v>1.1908372820249233E-3</v>
      </c>
      <c r="H160" s="261">
        <f t="shared" si="17"/>
        <v>0.94781499999999996</v>
      </c>
      <c r="I160" s="258">
        <f>G160*(1-H160)*(1-E137)</f>
        <v>5.5929459206223603E-5</v>
      </c>
      <c r="J160" s="261">
        <f t="shared" si="16"/>
        <v>0.79816000000000009</v>
      </c>
      <c r="K160" s="258">
        <f>G160*(1-J160)*(1-E137)</f>
        <v>2.1632273730351939E-4</v>
      </c>
    </row>
    <row r="161" spans="2:11" hidden="1" x14ac:dyDescent="0.25">
      <c r="B161" s="257">
        <v>22</v>
      </c>
      <c r="C161" s="258">
        <f t="shared" si="13"/>
        <v>8.5364843853284363E-3</v>
      </c>
      <c r="D161" s="258">
        <f t="shared" si="18"/>
        <v>0</v>
      </c>
      <c r="E161" s="258">
        <f>0</f>
        <v>0</v>
      </c>
      <c r="F161" s="258">
        <f>C161*I137+D161*J137+E161*K137</f>
        <v>7.0593237342122389E-3</v>
      </c>
      <c r="G161" s="258">
        <f>((C161*(1-I137))-(D161*J137)+(E161*(1-K137)))*F137*G137</f>
        <v>9.8477376741079809E-4</v>
      </c>
      <c r="H161" s="261">
        <f t="shared" si="17"/>
        <v>0.94781499999999996</v>
      </c>
      <c r="I161" s="258">
        <f>G161*(1-H161)*(1-E137)</f>
        <v>4.6251377147099285E-5</v>
      </c>
      <c r="J161" s="261">
        <f t="shared" si="16"/>
        <v>0.79816000000000009</v>
      </c>
      <c r="K161" s="258">
        <f>G161*(1-J161)*(1-E137)</f>
        <v>1.7889006349277586E-4</v>
      </c>
    </row>
    <row r="162" spans="2:11" hidden="1" x14ac:dyDescent="0.25">
      <c r="B162" s="257">
        <v>23</v>
      </c>
      <c r="C162" s="258">
        <f t="shared" si="13"/>
        <v>7.0593237342122389E-3</v>
      </c>
      <c r="D162" s="258">
        <f t="shared" si="18"/>
        <v>0</v>
      </c>
      <c r="E162" s="258">
        <f>0</f>
        <v>0</v>
      </c>
      <c r="F162" s="258">
        <f>C162*I137+D162*J137+E162*K137</f>
        <v>5.8377722414699757E-3</v>
      </c>
      <c r="G162" s="258">
        <f>((C162*(1-I137))-(D162*J137)+(E162*(1-K137)))*F137*G137</f>
        <v>8.1436766182817568E-4</v>
      </c>
      <c r="H162" s="261">
        <f t="shared" si="17"/>
        <v>0.94781499999999996</v>
      </c>
      <c r="I162" s="258">
        <f>G162*(1-H162)*(1-E137)</f>
        <v>3.824799878925304E-5</v>
      </c>
      <c r="J162" s="261">
        <f t="shared" si="16"/>
        <v>0.79816000000000009</v>
      </c>
      <c r="K162" s="258">
        <f>G162*(1-J162)*(1-E137)</f>
        <v>1.47934771977059E-4</v>
      </c>
    </row>
    <row r="163" spans="2:11" hidden="1" x14ac:dyDescent="0.25">
      <c r="B163" s="257">
        <v>24</v>
      </c>
      <c r="C163" s="258">
        <f t="shared" si="13"/>
        <v>5.8377722414699757E-3</v>
      </c>
      <c r="D163" s="258">
        <f t="shared" si="18"/>
        <v>0</v>
      </c>
      <c r="E163" s="258">
        <f>0</f>
        <v>0</v>
      </c>
      <c r="F163" s="258">
        <f>C163*I137+D163*J137+E163*K137</f>
        <v>4.8275990769646119E-3</v>
      </c>
      <c r="G163" s="258">
        <f>((C163*(1-I137))-(D163*J137)+(E163*(1-K137)))*F137*G137</f>
        <v>6.7344877633690914E-4</v>
      </c>
      <c r="H163" s="261">
        <f t="shared" si="17"/>
        <v>0.94781499999999996</v>
      </c>
      <c r="I163" s="258">
        <f>G163*(1-H163)*(1-E137)</f>
        <v>3.1629531953827469E-5</v>
      </c>
      <c r="J163" s="261">
        <f t="shared" si="16"/>
        <v>0.79816000000000009</v>
      </c>
      <c r="K163" s="258">
        <f>G163*(1-J163)*(1-E137)</f>
        <v>1.223360109142575E-4</v>
      </c>
    </row>
    <row r="164" spans="2:11" hidden="1" x14ac:dyDescent="0.25">
      <c r="B164" s="257">
        <v>25</v>
      </c>
      <c r="C164" s="258">
        <f t="shared" si="13"/>
        <v>4.8275990769646119E-3</v>
      </c>
      <c r="D164" s="258">
        <f t="shared" si="18"/>
        <v>0</v>
      </c>
      <c r="E164" s="258">
        <f>0</f>
        <v>0</v>
      </c>
      <c r="F164" s="258">
        <f>C164*I137+D164*J137+E164*K137</f>
        <v>3.9922271517124309E-3</v>
      </c>
      <c r="G164" s="258">
        <f>((C164*(1-I137))-(D164*J137)+(E164*(1-K137)))*F137*G137</f>
        <v>5.5691461683478739E-4</v>
      </c>
      <c r="H164" s="261">
        <f t="shared" si="17"/>
        <v>0.94781499999999996</v>
      </c>
      <c r="I164" s="258">
        <f>G164*(1-H164)*(1-E137)</f>
        <v>2.6156330351571061E-5</v>
      </c>
      <c r="J164" s="261">
        <f t="shared" si="16"/>
        <v>0.79816000000000009</v>
      </c>
      <c r="K164" s="258">
        <f>G164*(1-J164)*(1-E137)</f>
        <v>1.0116688163574009E-4</v>
      </c>
    </row>
    <row r="165" spans="2:11" hidden="1" x14ac:dyDescent="0.25">
      <c r="B165" s="257">
        <v>26</v>
      </c>
      <c r="C165" s="258">
        <f t="shared" si="13"/>
        <v>3.9922271517124309E-3</v>
      </c>
      <c r="D165" s="258">
        <f t="shared" si="18"/>
        <v>0</v>
      </c>
      <c r="E165" s="258">
        <f>0</f>
        <v>0</v>
      </c>
      <c r="F165" s="258">
        <f>C165*I137+D165*J137+E165*K137</f>
        <v>3.3014087078852877E-3</v>
      </c>
      <c r="G165" s="258">
        <f>((C165*(1-I137))-(D165*J137)+(E165*(1-K137)))*F137*G137</f>
        <v>4.6054562921809535E-4</v>
      </c>
      <c r="H165" s="261">
        <f t="shared" si="17"/>
        <v>0.94781499999999996</v>
      </c>
      <c r="I165" s="258">
        <f>G165*(1-H165)*(1-E137)</f>
        <v>2.1630216294671689E-5</v>
      </c>
      <c r="J165" s="261">
        <f t="shared" si="16"/>
        <v>0.79816000000000009</v>
      </c>
      <c r="K165" s="258">
        <f>G165*(1-J165)*(1-E137)</f>
        <v>8.366087682124229E-5</v>
      </c>
    </row>
    <row r="166" spans="2:11" hidden="1" x14ac:dyDescent="0.25">
      <c r="B166" s="257">
        <v>27</v>
      </c>
      <c r="C166" s="258">
        <f t="shared" si="13"/>
        <v>3.3014087078852877E-3</v>
      </c>
      <c r="D166" s="258">
        <f t="shared" si="18"/>
        <v>0</v>
      </c>
      <c r="E166" s="258">
        <f>0</f>
        <v>0</v>
      </c>
      <c r="F166" s="258">
        <f>C166*I137+D166*J137+E166*K137</f>
        <v>2.7301300858658924E-3</v>
      </c>
      <c r="G166" s="258">
        <f>((C166*(1-I137))-(D166*J137)+(E166*(1-K137)))*F137*G137</f>
        <v>3.8085241467959697E-4</v>
      </c>
      <c r="H166" s="261">
        <f t="shared" si="17"/>
        <v>0.94781499999999996</v>
      </c>
      <c r="I166" s="258">
        <f>G166*(1-H166)*(1-E137)</f>
        <v>1.7887304934049304E-5</v>
      </c>
      <c r="J166" s="261">
        <f t="shared" si="16"/>
        <v>0.79816000000000009</v>
      </c>
      <c r="K166" s="258">
        <f>G166*(1-J166)*(1-E137)</f>
        <v>6.9184126241036837E-5</v>
      </c>
    </row>
    <row r="167" spans="2:11" hidden="1" x14ac:dyDescent="0.25">
      <c r="B167" s="257">
        <v>28</v>
      </c>
      <c r="C167" s="258">
        <f t="shared" si="13"/>
        <v>2.7301300858658924E-3</v>
      </c>
      <c r="D167" s="258">
        <f t="shared" si="18"/>
        <v>0</v>
      </c>
      <c r="E167" s="258">
        <f>0</f>
        <v>0</v>
      </c>
      <c r="F167" s="258">
        <f>C167*I137+D167*J137+E167*K137</f>
        <v>2.2577060113603757E-3</v>
      </c>
      <c r="G167" s="258">
        <f>((C167*(1-I137))-(D167*J137)+(E167*(1-K137)))*F137*G137</f>
        <v>3.1494938300367779E-4</v>
      </c>
      <c r="H167" s="261">
        <f t="shared" si="17"/>
        <v>0.94781499999999996</v>
      </c>
      <c r="I167" s="258">
        <f>G167*(1-H167)*(1-E137)</f>
        <v>1.4792070196842242E-5</v>
      </c>
      <c r="J167" s="261">
        <f t="shared" si="16"/>
        <v>0.79816000000000009</v>
      </c>
      <c r="K167" s="258">
        <f>G167*(1-J167)*(1-E137)</f>
        <v>5.7212445118916064E-5</v>
      </c>
    </row>
    <row r="168" spans="2:11" hidden="1" x14ac:dyDescent="0.25">
      <c r="B168" s="257">
        <v>29</v>
      </c>
      <c r="C168" s="258">
        <f t="shared" si="13"/>
        <v>2.2577060113603757E-3</v>
      </c>
      <c r="D168" s="258">
        <f t="shared" si="18"/>
        <v>0</v>
      </c>
      <c r="E168" s="258">
        <f>0</f>
        <v>0</v>
      </c>
      <c r="F168" s="258">
        <f>C168*I137+D168*J137+E168*K137</f>
        <v>1.8670306078532992E-3</v>
      </c>
      <c r="G168" s="258">
        <f>((C168*(1-I137))-(D168*J137)+(E168*(1-K137)))*F137*G137</f>
        <v>2.6045026900471766E-4</v>
      </c>
      <c r="H168" s="261">
        <f t="shared" si="17"/>
        <v>0.94781499999999996</v>
      </c>
      <c r="I168" s="258">
        <f>G168*(1-H168)*(1-E137)</f>
        <v>1.2232437559210081E-5</v>
      </c>
      <c r="J168" s="261">
        <f t="shared" si="16"/>
        <v>0.79816000000000009</v>
      </c>
      <c r="K168" s="258">
        <f>G168*(1-J168)*(1-E137)</f>
        <v>4.7312354066320971E-5</v>
      </c>
    </row>
    <row r="169" spans="2:11" hidden="1" x14ac:dyDescent="0.25">
      <c r="B169" s="257">
        <v>30</v>
      </c>
      <c r="C169" s="258">
        <f t="shared" si="13"/>
        <v>1.8670306078532992E-3</v>
      </c>
      <c r="D169" s="258">
        <f t="shared" si="18"/>
        <v>0</v>
      </c>
      <c r="E169" s="258">
        <f>0</f>
        <v>0</v>
      </c>
      <c r="F169" s="258">
        <f>C169*I137+D169*J137+E169*K137</f>
        <v>1.5439580145161136E-3</v>
      </c>
      <c r="G169" s="258">
        <f>((C169*(1-I137))-(D169*J137)+(E169*(1-K137)))*F137*G137</f>
        <v>2.1538172889145707E-4</v>
      </c>
      <c r="H169" s="261">
        <f t="shared" si="17"/>
        <v>0.94781499999999996</v>
      </c>
      <c r="I169" s="258">
        <f>G169*(1-H169)*(1-E137)</f>
        <v>1.0115725969980627E-5</v>
      </c>
      <c r="J169" s="261">
        <f t="shared" si="16"/>
        <v>0.79816000000000009</v>
      </c>
      <c r="K169" s="258">
        <f>G169*(1-J169)*(1-E137)</f>
        <v>3.9125383343506511E-5</v>
      </c>
    </row>
    <row r="170" spans="2:11" hidden="1" x14ac:dyDescent="0.25">
      <c r="B170" s="257">
        <v>31</v>
      </c>
      <c r="C170" s="258">
        <f t="shared" si="13"/>
        <v>1.5439580145161136E-3</v>
      </c>
      <c r="D170" s="258">
        <f t="shared" si="18"/>
        <v>0</v>
      </c>
      <c r="E170" s="258">
        <f>0</f>
        <v>0</v>
      </c>
      <c r="F170" s="258">
        <f>C170*I137+D170*J137+E170*K137</f>
        <v>1.2767901825291585E-3</v>
      </c>
      <c r="G170" s="258">
        <f>((C170*(1-I137))-(D170*J137)+(E170*(1-K137)))*F137*G137</f>
        <v>1.7811188799130338E-4</v>
      </c>
      <c r="H170" s="261">
        <f t="shared" si="17"/>
        <v>0.94781499999999996</v>
      </c>
      <c r="I170" s="258">
        <f>G170*(1-H170)*(1-E137)</f>
        <v>8.3652919873435566E-6</v>
      </c>
      <c r="J170" s="261">
        <f t="shared" si="16"/>
        <v>0.79816000000000009</v>
      </c>
      <c r="K170" s="258">
        <f>G170*(1-J170)*(1-E137)</f>
        <v>3.2355093124948187E-5</v>
      </c>
    </row>
    <row r="171" spans="2:11" hidden="1" x14ac:dyDescent="0.25">
      <c r="B171" s="257">
        <v>32</v>
      </c>
      <c r="C171" s="258">
        <f t="shared" si="13"/>
        <v>1.2767901825291585E-3</v>
      </c>
      <c r="D171" s="258">
        <f t="shared" si="18"/>
        <v>0</v>
      </c>
      <c r="E171" s="258">
        <f>0</f>
        <v>0</v>
      </c>
      <c r="F171" s="258">
        <f>C171*I137+D171*J137+E171*K137</f>
        <v>1.0558533035717004E-3</v>
      </c>
      <c r="G171" s="258">
        <f>((C171*(1-I137))-(D171*J137)+(E171*(1-K137)))*F137*G137</f>
        <v>1.4729125263830543E-4</v>
      </c>
      <c r="H171" s="261">
        <f t="shared" si="17"/>
        <v>0.94781499999999996</v>
      </c>
      <c r="I171" s="258">
        <f>G171*(1-H171)*(1-E137)</f>
        <v>6.9177546170369765E-6</v>
      </c>
      <c r="J171" s="261">
        <f t="shared" si="16"/>
        <v>0.79816000000000009</v>
      </c>
      <c r="K171" s="258">
        <f>G171*(1-J171)*(1-E137)</f>
        <v>2.6756339789263999E-5</v>
      </c>
    </row>
    <row r="172" spans="2:11" hidden="1" x14ac:dyDescent="0.25">
      <c r="B172" s="257">
        <v>33</v>
      </c>
      <c r="C172" s="258">
        <f t="shared" si="13"/>
        <v>1.0558533035717004E-3</v>
      </c>
      <c r="D172" s="258">
        <f t="shared" si="18"/>
        <v>0</v>
      </c>
      <c r="E172" s="258">
        <f>0</f>
        <v>0</v>
      </c>
      <c r="F172" s="258">
        <f>C172*I137+D172*J137+E172*K137</f>
        <v>8.7314753349289136E-4</v>
      </c>
      <c r="G172" s="258">
        <f>((C172*(1-I137))-(D172*J137)+(E172*(1-K137)))*F137*G137</f>
        <v>1.2180384671920602E-4</v>
      </c>
      <c r="H172" s="261">
        <f t="shared" si="17"/>
        <v>0.94781499999999996</v>
      </c>
      <c r="I172" s="258">
        <f>G172*(1-H172)*(1-E137)</f>
        <v>5.7207003669375935E-6</v>
      </c>
      <c r="J172" s="261">
        <f t="shared" si="16"/>
        <v>0.79816000000000009</v>
      </c>
      <c r="K172" s="258">
        <f>G172*(1-J172)*(1-E137)</f>
        <v>2.2126399579624079E-5</v>
      </c>
    </row>
    <row r="173" spans="2:11" hidden="1" x14ac:dyDescent="0.25">
      <c r="B173" s="257">
        <v>34</v>
      </c>
      <c r="C173" s="258">
        <f t="shared" si="13"/>
        <v>8.7314753349289136E-4</v>
      </c>
      <c r="D173" s="258">
        <f t="shared" si="18"/>
        <v>0</v>
      </c>
      <c r="E173" s="258">
        <f>0</f>
        <v>0</v>
      </c>
      <c r="F173" s="258">
        <f>C173*I137+D173*J137+E173*K137</f>
        <v>7.2205732810206441E-4</v>
      </c>
      <c r="G173" s="258">
        <f>((C173*(1-I137))-(D173*J137)+(E173*(1-K137)))*F137*G137</f>
        <v>1.0072680359388467E-4</v>
      </c>
      <c r="H173" s="261">
        <f t="shared" si="17"/>
        <v>0.94781499999999996</v>
      </c>
      <c r="I173" s="258">
        <f>G173*(1-H173)*(1-E137)</f>
        <v>4.7307854209921879E-6</v>
      </c>
      <c r="J173" s="261">
        <f t="shared" si="16"/>
        <v>0.79816000000000009</v>
      </c>
      <c r="K173" s="258">
        <f>G173*(1-J173)*(1-E137)</f>
        <v>1.8297628233650707E-5</v>
      </c>
    </row>
    <row r="174" spans="2:11" hidden="1" x14ac:dyDescent="0.25">
      <c r="B174" s="257">
        <v>35</v>
      </c>
      <c r="C174" s="258">
        <f t="shared" si="13"/>
        <v>7.2205732810206441E-4</v>
      </c>
      <c r="D174" s="258">
        <f t="shared" si="18"/>
        <v>0</v>
      </c>
      <c r="E174" s="258">
        <f>0</f>
        <v>0</v>
      </c>
      <c r="F174" s="258">
        <f>C174*I137+D174*J137+E174*K137</f>
        <v>5.9711190270474136E-4</v>
      </c>
      <c r="G174" s="258">
        <f>((C174*(1-I137))-(D174*J137)+(E174*(1-K137)))*F137*G137</f>
        <v>8.3296950264882011E-5</v>
      </c>
      <c r="H174" s="261">
        <f t="shared" si="17"/>
        <v>0.94781499999999996</v>
      </c>
      <c r="I174" s="258">
        <f>G174*(1-H174)*(1-E137)</f>
        <v>3.9121662146155838E-6</v>
      </c>
      <c r="J174" s="261">
        <f t="shared" si="16"/>
        <v>0.79816000000000009</v>
      </c>
      <c r="K174" s="258">
        <f>G174*(1-J174)*(1-E137)</f>
        <v>1.5131390797317399E-5</v>
      </c>
    </row>
    <row r="175" spans="2:11" hidden="1" x14ac:dyDescent="0.25">
      <c r="B175" s="257">
        <v>36</v>
      </c>
      <c r="C175" s="258">
        <f t="shared" si="13"/>
        <v>5.9711190270474136E-4</v>
      </c>
      <c r="D175" s="258">
        <f t="shared" si="18"/>
        <v>0</v>
      </c>
      <c r="E175" s="258">
        <f>0</f>
        <v>0</v>
      </c>
      <c r="F175" s="258">
        <f>C175*I137+D175*J137+E175*K137</f>
        <v>4.9378714192798616E-4</v>
      </c>
      <c r="G175" s="258">
        <f>((C175*(1-I137))-(D175*J137)+(E175*(1-K137)))*F137*G137</f>
        <v>6.8883173851170152E-5</v>
      </c>
      <c r="H175" s="261">
        <f t="shared" si="17"/>
        <v>0.94781499999999996</v>
      </c>
      <c r="I175" s="258">
        <f>G175*(1-H175)*(1-E137)</f>
        <v>3.2352015846809855E-6</v>
      </c>
      <c r="J175" s="261">
        <f t="shared" si="16"/>
        <v>0.79816000000000009</v>
      </c>
      <c r="K175" s="258">
        <f>G175*(1-J175)*(1-E137)</f>
        <v>1.2513041829108159E-5</v>
      </c>
    </row>
    <row r="176" spans="2:11" hidden="1" x14ac:dyDescent="0.25">
      <c r="B176" s="257">
        <v>37</v>
      </c>
      <c r="C176" s="258">
        <f t="shared" si="13"/>
        <v>4.9378714192798616E-4</v>
      </c>
      <c r="D176" s="258">
        <f t="shared" si="18"/>
        <v>0</v>
      </c>
      <c r="E176" s="258">
        <f>0</f>
        <v>0</v>
      </c>
      <c r="F176" s="258">
        <f>C176*I137+D176*J137+E176*K137</f>
        <v>4.0834178724113556E-4</v>
      </c>
      <c r="G176" s="258">
        <f>((C176*(1-I137))-(D176*J137)+(E176*(1-K137)))*F137*G137</f>
        <v>5.696356979123373E-5</v>
      </c>
      <c r="H176" s="261">
        <f t="shared" si="17"/>
        <v>0.94781499999999996</v>
      </c>
      <c r="I176" s="258">
        <f>G176*(1-H176)*(1-E137)</f>
        <v>2.675379500599981E-6</v>
      </c>
      <c r="J176" s="261">
        <f t="shared" si="16"/>
        <v>0.79816000000000009</v>
      </c>
      <c r="K176" s="258">
        <f>G176*(1-J176)*(1-E137)</f>
        <v>1.034777423399635E-5</v>
      </c>
    </row>
    <row r="177" spans="2:11" hidden="1" x14ac:dyDescent="0.25">
      <c r="B177" s="257">
        <v>38</v>
      </c>
      <c r="C177" s="258">
        <f t="shared" si="13"/>
        <v>4.0834178724113556E-4</v>
      </c>
      <c r="D177" s="258">
        <f t="shared" si="18"/>
        <v>0</v>
      </c>
      <c r="E177" s="258">
        <f>0</f>
        <v>0</v>
      </c>
      <c r="F177" s="258">
        <f>C177*I137+D177*J137+E177*K137</f>
        <v>3.3768197072981418E-4</v>
      </c>
      <c r="G177" s="258">
        <f>((C177*(1-I137))-(D177*J137)+(E177*(1-K137)))*F137*G137</f>
        <v>4.7106544340880929E-5</v>
      </c>
      <c r="H177" s="261">
        <f t="shared" si="17"/>
        <v>0.94781499999999996</v>
      </c>
      <c r="I177" s="258">
        <f>G177*(1-H177)*(1-E137)</f>
        <v>2.2124295147859859E-6</v>
      </c>
      <c r="J177" s="261">
        <f t="shared" si="16"/>
        <v>0.79816000000000009</v>
      </c>
      <c r="K177" s="258">
        <f>G177*(1-J177)*(1-E137)</f>
        <v>8.5571864187870618E-6</v>
      </c>
    </row>
    <row r="178" spans="2:11" hidden="1" x14ac:dyDescent="0.25">
      <c r="B178" s="257">
        <v>39</v>
      </c>
      <c r="C178" s="258">
        <f t="shared" si="13"/>
        <v>3.3768197072981418E-4</v>
      </c>
      <c r="D178" s="258">
        <f t="shared" si="18"/>
        <v>0</v>
      </c>
      <c r="E178" s="258">
        <f>0</f>
        <v>0</v>
      </c>
      <c r="F178" s="258">
        <f>C178*I137+D178*J137+E178*K137</f>
        <v>2.7924919006301494E-4</v>
      </c>
      <c r="G178" s="258">
        <f>((C178*(1-I137))-(D178*J137)+(E178*(1-K137)))*F137*G137</f>
        <v>3.8955187111199482E-5</v>
      </c>
      <c r="H178" s="261">
        <f t="shared" si="17"/>
        <v>0.94781499999999996</v>
      </c>
      <c r="I178" s="258">
        <f>G178*(1-H178)*(1-E137)</f>
        <v>1.8295887954581518E-6</v>
      </c>
      <c r="J178" s="261">
        <f t="shared" si="16"/>
        <v>0.79816000000000009</v>
      </c>
      <c r="K178" s="258">
        <f>G178*(1-J178)*(1-E137)</f>
        <v>7.0764434698720506E-6</v>
      </c>
    </row>
    <row r="179" spans="2:11" hidden="1" x14ac:dyDescent="0.25">
      <c r="B179" s="257">
        <v>40</v>
      </c>
      <c r="C179" s="258">
        <f t="shared" si="13"/>
        <v>2.7924919006301494E-4</v>
      </c>
      <c r="D179" s="258">
        <f t="shared" si="18"/>
        <v>0</v>
      </c>
      <c r="E179" s="258">
        <f>0</f>
        <v>0</v>
      </c>
      <c r="F179" s="258">
        <f>C179*I137+D179*J137+E179*K137</f>
        <v>2.3092766836889619E-4</v>
      </c>
      <c r="G179" s="258">
        <f>((C179*(1-I137))-(D179*J137)+(E179*(1-K137)))*F137*G137</f>
        <v>3.2214347796079155E-5</v>
      </c>
      <c r="H179" s="261">
        <f t="shared" si="17"/>
        <v>0.94781499999999996</v>
      </c>
      <c r="I179" s="258">
        <f>G179*(1-H179)*(1-E137)</f>
        <v>1.5129951657645528E-6</v>
      </c>
      <c r="J179" s="261">
        <f t="shared" si="16"/>
        <v>0.79816000000000009</v>
      </c>
      <c r="K179" s="258">
        <f>G179*(1-J179)*(1-E137)</f>
        <v>5.8519295632445524E-6</v>
      </c>
    </row>
    <row r="180" spans="2:11" hidden="1" x14ac:dyDescent="0.25">
      <c r="B180" s="257">
        <v>41</v>
      </c>
      <c r="C180" s="258">
        <f t="shared" si="13"/>
        <v>2.3092766836889619E-4</v>
      </c>
      <c r="D180" s="258">
        <f t="shared" si="18"/>
        <v>0</v>
      </c>
      <c r="E180" s="258">
        <f>0</f>
        <v>0</v>
      </c>
      <c r="F180" s="258">
        <f>C180*I137+D180*J137+E180*K137</f>
        <v>1.9096774463790237E-4</v>
      </c>
      <c r="G180" s="258">
        <f>((C180*(1-I137))-(D180*J137)+(E180*(1-K137)))*F137*G137</f>
        <v>2.6639949153995878E-5</v>
      </c>
      <c r="H180" s="261">
        <f t="shared" si="17"/>
        <v>0.94781499999999996</v>
      </c>
      <c r="I180" s="258">
        <f>G180*(1-H180)*(1-E137)</f>
        <v>1.2511851719411483E-6</v>
      </c>
      <c r="J180" s="261">
        <f t="shared" si="16"/>
        <v>0.79816000000000009</v>
      </c>
      <c r="K180" s="258">
        <f>G180*(1-J180)*(1-E137)</f>
        <v>4.8393066035182731E-6</v>
      </c>
    </row>
    <row r="181" spans="2:11" hidden="1" x14ac:dyDescent="0.25">
      <c r="B181" s="257">
        <v>42</v>
      </c>
      <c r="C181" s="258">
        <f t="shared" si="13"/>
        <v>1.9096774463790237E-4</v>
      </c>
      <c r="D181" s="258">
        <f t="shared" si="18"/>
        <v>0</v>
      </c>
      <c r="E181" s="258">
        <f>0</f>
        <v>0</v>
      </c>
      <c r="F181" s="258">
        <f>C181*I137+D181*J137+E181*K137</f>
        <v>1.5792252071687691E-4</v>
      </c>
      <c r="G181" s="258">
        <f>((C181*(1-I137))-(D181*J137)+(E181*(1-K137)))*F137*G137</f>
        <v>2.2030149280683637E-5</v>
      </c>
      <c r="H181" s="261">
        <f t="shared" si="17"/>
        <v>0.94781499999999996</v>
      </c>
      <c r="I181" s="258">
        <f>G181*(1-H181)*(1-E137)</f>
        <v>1.0346790061912288E-6</v>
      </c>
      <c r="J181" s="261">
        <f t="shared" si="16"/>
        <v>0.79816000000000009</v>
      </c>
      <c r="K181" s="258">
        <f>G181*(1-J181)*(1-E137)</f>
        <v>4.0019087977318646E-6</v>
      </c>
    </row>
    <row r="182" spans="2:11" hidden="1" x14ac:dyDescent="0.25">
      <c r="B182" s="257">
        <v>43</v>
      </c>
      <c r="C182" s="258">
        <f t="shared" si="13"/>
        <v>1.5792252071687691E-4</v>
      </c>
      <c r="D182" s="258">
        <f t="shared" si="18"/>
        <v>0</v>
      </c>
      <c r="E182" s="258">
        <f>0</f>
        <v>0</v>
      </c>
      <c r="F182" s="258">
        <f>C182*I137+D182*J137+E182*K137</f>
        <v>1.3059547096218121E-4</v>
      </c>
      <c r="G182" s="258">
        <f>((C182*(1-I137))-(D182*J137)+(E182*(1-K137)))*F137*G137</f>
        <v>1.8218033169797127E-5</v>
      </c>
      <c r="H182" s="261">
        <f t="shared" si="17"/>
        <v>0.94781499999999996</v>
      </c>
      <c r="I182" s="258">
        <f>G182*(1-H182)*(1-E137)</f>
        <v>8.5563725486927735E-7</v>
      </c>
      <c r="J182" s="261">
        <f t="shared" si="16"/>
        <v>0.79816000000000009</v>
      </c>
      <c r="K182" s="258">
        <f>G182*(1-J182)*(1-E137)</f>
        <v>3.3094150334926655E-6</v>
      </c>
    </row>
    <row r="183" spans="2:11" hidden="1" x14ac:dyDescent="0.25">
      <c r="B183" s="257">
        <v>44</v>
      </c>
      <c r="C183" s="258">
        <f t="shared" si="13"/>
        <v>1.3059547096218121E-4</v>
      </c>
      <c r="D183" s="258">
        <f t="shared" si="18"/>
        <v>0</v>
      </c>
      <c r="E183" s="258">
        <f>0</f>
        <v>0</v>
      </c>
      <c r="F183" s="258">
        <f>C183*I137+D183*J137+E183*K137</f>
        <v>1.0799711756381089E-4</v>
      </c>
      <c r="G183" s="258">
        <f>((C183*(1-I137))-(D183*J137)+(E183*(1-K137)))*F137*G137</f>
        <v>1.5065568932246877E-5</v>
      </c>
      <c r="H183" s="261">
        <f t="shared" si="17"/>
        <v>0.94781499999999996</v>
      </c>
      <c r="I183" s="258">
        <f>G183*(1-H183)*(1-E137)</f>
        <v>7.0757704325637353E-7</v>
      </c>
      <c r="J183" s="261">
        <f t="shared" si="16"/>
        <v>0.79816000000000009</v>
      </c>
      <c r="K183" s="258">
        <f>G183*(1-J183)*(1-E137)</f>
        <v>2.7367509899562373E-6</v>
      </c>
    </row>
    <row r="184" spans="2:11" hidden="1" x14ac:dyDescent="0.25">
      <c r="B184" s="257">
        <v>45</v>
      </c>
      <c r="C184" s="258">
        <f t="shared" si="13"/>
        <v>1.0799711756381089E-4</v>
      </c>
      <c r="D184" s="258">
        <f t="shared" si="18"/>
        <v>0</v>
      </c>
      <c r="E184" s="258">
        <f>0</f>
        <v>0</v>
      </c>
      <c r="F184" s="258">
        <f>C184*I137+D184*J137+E184*K137</f>
        <v>8.9309202808948531E-5</v>
      </c>
      <c r="G184" s="258">
        <f>((C184*(1-I137))-(D184*J137)+(E184*(1-K137)))*F137*G137</f>
        <v>1.2458609836574903E-5</v>
      </c>
      <c r="H184" s="261">
        <f t="shared" si="17"/>
        <v>0.94781499999999996</v>
      </c>
      <c r="I184" s="258">
        <f>G184*(1-H184)*(1-E137)</f>
        <v>5.8513729888949566E-7</v>
      </c>
      <c r="J184" s="261">
        <f t="shared" si="16"/>
        <v>0.79816000000000009</v>
      </c>
      <c r="K184" s="258">
        <f>G184*(1-J184)*(1-E137)</f>
        <v>2.2631812284728497E-6</v>
      </c>
    </row>
    <row r="185" spans="2:11" hidden="1" x14ac:dyDescent="0.25">
      <c r="B185" s="257">
        <v>46</v>
      </c>
      <c r="C185" s="258">
        <f t="shared" si="13"/>
        <v>8.9309202808948531E-5</v>
      </c>
      <c r="D185" s="258">
        <f t="shared" si="18"/>
        <v>0</v>
      </c>
      <c r="E185" s="258">
        <f>0</f>
        <v>0</v>
      </c>
      <c r="F185" s="258">
        <f>C185*I137+D185*J137+E185*K137</f>
        <v>7.385506100806018E-5</v>
      </c>
      <c r="G185" s="258">
        <f>((C185*(1-I137))-(D185*J137)+(E185*(1-K137)))*F137*G137</f>
        <v>1.0302761200592236E-5</v>
      </c>
      <c r="H185" s="261">
        <f t="shared" si="17"/>
        <v>0.94781499999999996</v>
      </c>
      <c r="I185" s="258">
        <f>G185*(1-H185)*(1-E137)</f>
        <v>4.8388463392761563E-7</v>
      </c>
      <c r="J185" s="261">
        <f t="shared" si="16"/>
        <v>0.79816000000000009</v>
      </c>
      <c r="K185" s="258">
        <f>G185*(1-J185)*(1-E137)</f>
        <v>1.8715583886547821E-6</v>
      </c>
    </row>
    <row r="186" spans="2:11" hidden="1" x14ac:dyDescent="0.25">
      <c r="B186" s="257">
        <v>47</v>
      </c>
      <c r="C186" s="258">
        <f t="shared" si="13"/>
        <v>7.385506100806018E-5</v>
      </c>
      <c r="D186" s="258">
        <f t="shared" si="18"/>
        <v>0</v>
      </c>
      <c r="E186" s="258">
        <f>0</f>
        <v>0</v>
      </c>
      <c r="F186" s="258">
        <f>C186*I137+D186*J137+E186*K137</f>
        <v>6.1075117288559636E-5</v>
      </c>
      <c r="G186" s="258">
        <f>((C186*(1-I137))-(D186*J137)+(E186*(1-K137)))*F137*G137</f>
        <v>8.5199624796670322E-6</v>
      </c>
      <c r="H186" s="261">
        <f t="shared" si="17"/>
        <v>0.94781499999999996</v>
      </c>
      <c r="I186" s="258">
        <f>G186*(1-H186)*(1-E137)</f>
        <v>4.0015281780128194E-7</v>
      </c>
      <c r="J186" s="261">
        <f t="shared" si="16"/>
        <v>0.79816000000000009</v>
      </c>
      <c r="K186" s="258">
        <f>G186*(1-J186)*(1-E137)</f>
        <v>1.5477023042063937E-6</v>
      </c>
    </row>
    <row r="187" spans="2:11" hidden="1" x14ac:dyDescent="0.25">
      <c r="B187" s="257">
        <v>48</v>
      </c>
      <c r="C187" s="258">
        <f t="shared" si="13"/>
        <v>6.1075117288559636E-5</v>
      </c>
      <c r="D187" s="258">
        <f t="shared" si="18"/>
        <v>0</v>
      </c>
      <c r="E187" s="258">
        <f>0</f>
        <v>0</v>
      </c>
      <c r="F187" s="258">
        <f>C187*I137+D187*J137+E187*K137</f>
        <v>5.0506626098436551E-5</v>
      </c>
      <c r="G187" s="258">
        <f>((C187*(1-I137))-(D187*J137)+(E187*(1-K137)))*F137*G137</f>
        <v>7.0456607934153906E-6</v>
      </c>
      <c r="H187" s="261">
        <f t="shared" si="17"/>
        <v>0.94781499999999996</v>
      </c>
      <c r="I187" s="258">
        <f>G187*(1-H187)*(1-E137)</f>
        <v>3.3091002765394415E-7</v>
      </c>
      <c r="J187" s="261">
        <f t="shared" si="16"/>
        <v>0.79816000000000009</v>
      </c>
      <c r="K187" s="258">
        <f>G187*(1-J187)*(1-E137)</f>
        <v>1.2798865570886658E-6</v>
      </c>
    </row>
    <row r="188" spans="2:11" hidden="1" x14ac:dyDescent="0.25">
      <c r="B188" s="257">
        <v>49</v>
      </c>
      <c r="C188" s="258">
        <f t="shared" si="13"/>
        <v>5.0506626098436551E-5</v>
      </c>
      <c r="D188" s="258">
        <f t="shared" si="18"/>
        <v>0</v>
      </c>
      <c r="E188" s="258">
        <f>0</f>
        <v>0</v>
      </c>
      <c r="F188" s="258">
        <f>C188*I137+D188*J137+E188*K137</f>
        <v>4.176691577676431E-5</v>
      </c>
      <c r="G188" s="258">
        <f>((C188*(1-I137))-(D188*J137)+(E188*(1-K137)))*F137*G137</f>
        <v>5.8264735477814945E-6</v>
      </c>
      <c r="H188" s="261">
        <f t="shared" si="17"/>
        <v>0.94781499999999996</v>
      </c>
      <c r="I188" s="258">
        <f>G188*(1-H188)*(1-E137)</f>
        <v>2.7364906988187975E-7</v>
      </c>
      <c r="J188" s="261">
        <f t="shared" si="16"/>
        <v>0.79816000000000009</v>
      </c>
      <c r="K188" s="258">
        <f>G188*(1-J188)*(1-E137)</f>
        <v>1.0584138787957947E-6</v>
      </c>
    </row>
    <row r="189" spans="2:11" hidden="1" x14ac:dyDescent="0.25">
      <c r="B189" s="257">
        <v>50</v>
      </c>
      <c r="C189" s="258">
        <f t="shared" si="13"/>
        <v>4.176691577676431E-5</v>
      </c>
      <c r="D189" s="258">
        <f t="shared" si="18"/>
        <v>0</v>
      </c>
      <c r="E189" s="258">
        <f>0</f>
        <v>0</v>
      </c>
      <c r="F189" s="258">
        <f>C189*I137+D189*J137+E189*K137</f>
        <v>3.453953249823837E-5</v>
      </c>
      <c r="G189" s="258">
        <f>((C189*(1-I137))-(D189*J137)+(E189*(1-K137)))*F137*G137</f>
        <v>4.8182555190172941E-6</v>
      </c>
      <c r="H189" s="261">
        <f t="shared" si="17"/>
        <v>0.94781499999999996</v>
      </c>
      <c r="I189" s="258">
        <f>G189*(1-H189)*(1-E137)</f>
        <v>2.2629659783392591E-7</v>
      </c>
      <c r="J189" s="261">
        <f t="shared" si="16"/>
        <v>0.79816000000000009</v>
      </c>
      <c r="K189" s="258">
        <f>G189*(1-J189)*(1-E137)</f>
        <v>8.752650245626053E-7</v>
      </c>
    </row>
    <row r="190" spans="2:11" hidden="1" x14ac:dyDescent="0.25">
      <c r="B190" s="257">
        <v>51</v>
      </c>
      <c r="C190" s="258">
        <f t="shared" si="13"/>
        <v>3.453953249823837E-5</v>
      </c>
      <c r="D190" s="258">
        <f t="shared" si="18"/>
        <v>0</v>
      </c>
      <c r="E190" s="258">
        <f>0</f>
        <v>0</v>
      </c>
      <c r="F190" s="258">
        <f>C190*I137+D190*J137+E190*K137</f>
        <v>2.8562781881551818E-5</v>
      </c>
      <c r="G190" s="258">
        <f>((C190*(1-I137))-(D190*J137)+(E190*(1-K137)))*F137*G137</f>
        <v>3.9845004111243669E-6</v>
      </c>
      <c r="H190" s="261">
        <f t="shared" si="17"/>
        <v>0.94781499999999996</v>
      </c>
      <c r="I190" s="258">
        <f>G190*(1-H190)*(1-E137)</f>
        <v>1.8713803855907271E-7</v>
      </c>
      <c r="J190" s="261">
        <f t="shared" si="16"/>
        <v>0.79816000000000009</v>
      </c>
      <c r="K190" s="258">
        <f>G190*(1-J190)*(1-E137)</f>
        <v>7.2380840668320773E-7</v>
      </c>
    </row>
    <row r="191" spans="2:11" hidden="1" x14ac:dyDescent="0.25">
      <c r="B191" s="257">
        <v>52</v>
      </c>
      <c r="C191" s="258">
        <f t="shared" si="13"/>
        <v>2.8562781881551818E-5</v>
      </c>
      <c r="D191" s="258">
        <f t="shared" si="18"/>
        <v>0</v>
      </c>
      <c r="E191" s="258">
        <f>0</f>
        <v>0</v>
      </c>
      <c r="F191" s="258">
        <f>C191*I137+D191*J137+E191*K137</f>
        <v>2.3620253367781251E-5</v>
      </c>
      <c r="G191" s="258">
        <f>((C191*(1-I137))-(D191*J137)+(E191*(1-K137)))*F137*G137</f>
        <v>3.2950190091803774E-6</v>
      </c>
      <c r="H191" s="261">
        <f t="shared" si="17"/>
        <v>0.94781499999999996</v>
      </c>
      <c r="I191" s="258">
        <f>G191*(1-H191)*(1-E137)</f>
        <v>1.547555102946703E-7</v>
      </c>
      <c r="J191" s="261">
        <f t="shared" si="16"/>
        <v>0.79816000000000009</v>
      </c>
      <c r="K191" s="258">
        <f>G191*(1-J191)*(1-E137)</f>
        <v>5.9855997313167036E-7</v>
      </c>
    </row>
    <row r="192" spans="2:11" hidden="1" x14ac:dyDescent="0.25">
      <c r="B192" s="257">
        <v>53</v>
      </c>
      <c r="C192" s="258">
        <f t="shared" si="13"/>
        <v>2.3620253367781251E-5</v>
      </c>
      <c r="D192" s="258">
        <f t="shared" si="18"/>
        <v>0</v>
      </c>
      <c r="E192" s="258">
        <f>0</f>
        <v>0</v>
      </c>
      <c r="F192" s="258">
        <f>C192*I137+D192*J137+E192*K137</f>
        <v>1.953298426854317E-5</v>
      </c>
      <c r="G192" s="258">
        <f>((C192*(1-I137))-(D192*J137)+(E192*(1-K137)))*F137*G137</f>
        <v>2.7248460661587206E-6</v>
      </c>
      <c r="H192" s="261">
        <f t="shared" si="17"/>
        <v>0.94781499999999996</v>
      </c>
      <c r="I192" s="258">
        <f>G192*(1-H192)*(1-E137)</f>
        <v>1.2797648276624364E-7</v>
      </c>
      <c r="J192" s="261">
        <f t="shared" si="16"/>
        <v>0.79816000000000009</v>
      </c>
      <c r="K192" s="258">
        <f>G192*(1-J192)*(1-E137)</f>
        <v>4.9498463699412836E-7</v>
      </c>
    </row>
    <row r="193" spans="2:11" hidden="1" x14ac:dyDescent="0.25">
      <c r="B193" s="257">
        <v>54</v>
      </c>
      <c r="C193" s="258">
        <f t="shared" si="13"/>
        <v>1.953298426854317E-5</v>
      </c>
      <c r="D193" s="258">
        <f t="shared" si="18"/>
        <v>0</v>
      </c>
      <c r="E193" s="258">
        <f>0</f>
        <v>0</v>
      </c>
      <c r="F193" s="258">
        <f>C193*I137+D193*J137+E193*K137</f>
        <v>1.6152979754043778E-5</v>
      </c>
      <c r="G193" s="258">
        <f>((C193*(1-I137))-(D193*J137)+(E193*(1-K137)))*F137*G137</f>
        <v>2.2533363429995933E-6</v>
      </c>
      <c r="H193" s="261">
        <f t="shared" si="17"/>
        <v>0.94781499999999996</v>
      </c>
      <c r="I193" s="258">
        <f>G193*(1-H193)*(1-E137)</f>
        <v>1.0583132135349048E-7</v>
      </c>
      <c r="J193" s="261">
        <f t="shared" si="16"/>
        <v>0.79816000000000009</v>
      </c>
      <c r="K193" s="258">
        <f>G193*(1-J193)*(1-E137)</f>
        <v>4.0933206672393397E-7</v>
      </c>
    </row>
    <row r="194" spans="2:11" hidden="1" x14ac:dyDescent="0.25">
      <c r="B194" s="257">
        <v>55</v>
      </c>
      <c r="C194" s="258">
        <f t="shared" si="13"/>
        <v>1.6152979754043778E-5</v>
      </c>
      <c r="D194" s="258">
        <f t="shared" si="18"/>
        <v>0</v>
      </c>
      <c r="E194" s="258">
        <f>0</f>
        <v>0</v>
      </c>
      <c r="F194" s="258">
        <f>C194*I137+D194*J137+E194*K137</f>
        <v>1.3357854148008708E-5</v>
      </c>
      <c r="G194" s="258">
        <f>((C194*(1-I137))-(D194*J137)+(E194*(1-K137)))*F137*G137</f>
        <v>1.8634170706900467E-6</v>
      </c>
      <c r="H194" s="261">
        <f t="shared" si="17"/>
        <v>0.94781499999999996</v>
      </c>
      <c r="I194" s="258">
        <f>G194*(1-H194)*(1-E137)</f>
        <v>8.7518177850564145E-8</v>
      </c>
      <c r="J194" s="261">
        <f t="shared" si="16"/>
        <v>0.79816000000000009</v>
      </c>
      <c r="K194" s="258">
        <f>G194*(1-J194)*(1-E137)</f>
        <v>3.3850089139327096E-7</v>
      </c>
    </row>
    <row r="195" spans="2:11" hidden="1" x14ac:dyDescent="0.25">
      <c r="B195" s="257">
        <v>56</v>
      </c>
      <c r="C195" s="258">
        <f t="shared" si="13"/>
        <v>1.3357854148008708E-5</v>
      </c>
      <c r="D195" s="258">
        <f t="shared" si="18"/>
        <v>0</v>
      </c>
      <c r="E195" s="258">
        <f>0</f>
        <v>0</v>
      </c>
      <c r="F195" s="258">
        <f>C195*I137+D195*J137+E195*K137</f>
        <v>1.1046399497579031E-5</v>
      </c>
      <c r="G195" s="258">
        <f>((C195*(1-I137))-(D195*J137)+(E195*(1-K137)))*F137*G137</f>
        <v>1.5409697669531181E-6</v>
      </c>
      <c r="H195" s="261">
        <f t="shared" si="17"/>
        <v>0.94781499999999996</v>
      </c>
      <c r="I195" s="258">
        <f>G195*(1-H195)*(1-E137)</f>
        <v>7.2373956559603681E-8</v>
      </c>
      <c r="J195" s="261">
        <f t="shared" si="16"/>
        <v>0.79816000000000009</v>
      </c>
      <c r="K195" s="258">
        <f>G195*(1-J195)*(1-E137)</f>
        <v>2.7992640398563551E-7</v>
      </c>
    </row>
    <row r="196" spans="2:11" hidden="1" x14ac:dyDescent="0.25">
      <c r="B196" s="257">
        <v>57</v>
      </c>
      <c r="C196" s="258">
        <f t="shared" si="13"/>
        <v>1.1046399497579031E-5</v>
      </c>
      <c r="D196" s="258">
        <f t="shared" si="18"/>
        <v>0</v>
      </c>
      <c r="E196" s="258">
        <f>0</f>
        <v>0</v>
      </c>
      <c r="F196" s="258">
        <f>C196*I137+D196*J137+E196*K137</f>
        <v>9.1349209617103469E-6</v>
      </c>
      <c r="G196" s="258">
        <f>((C196*(1-I137))-(D196*J137)+(E196*(1-K137)))*F137*G137</f>
        <v>1.2743190239124553E-6</v>
      </c>
      <c r="H196" s="261">
        <f t="shared" si="17"/>
        <v>0.94781499999999996</v>
      </c>
      <c r="I196" s="258">
        <f>G196*(1-H196)*(1-E137)</f>
        <v>5.985030443658438E-8</v>
      </c>
      <c r="J196" s="261">
        <f t="shared" si="16"/>
        <v>0.79816000000000009</v>
      </c>
      <c r="K196" s="258">
        <f>G196*(1-J196)*(1-E137)</f>
        <v>2.314876966078409E-7</v>
      </c>
    </row>
    <row r="197" spans="2:11" hidden="1" x14ac:dyDescent="0.25">
      <c r="B197" s="257">
        <v>58</v>
      </c>
      <c r="C197" s="258">
        <f t="shared" si="13"/>
        <v>9.1349209617103469E-6</v>
      </c>
      <c r="D197" s="258">
        <f t="shared" si="18"/>
        <v>0</v>
      </c>
      <c r="E197" s="258">
        <f>0</f>
        <v>0</v>
      </c>
      <c r="F197" s="258">
        <f>C197*I137+D197*J137+E197*K137</f>
        <v>7.5542063271370544E-6</v>
      </c>
      <c r="G197" s="258">
        <f>((C197*(1-I137))-(D197*J137)+(E197*(1-K137)))*F137*G137</f>
        <v>1.0538097563821948E-6</v>
      </c>
      <c r="H197" s="261">
        <f t="shared" si="17"/>
        <v>0.94781499999999996</v>
      </c>
      <c r="I197" s="258">
        <f>G197*(1-H197)*(1-E137)</f>
        <v>4.949375592312439E-8</v>
      </c>
      <c r="J197" s="261">
        <f t="shared" si="16"/>
        <v>0.79816000000000009</v>
      </c>
      <c r="K197" s="258">
        <f>G197*(1-J197)*(1-E137)</f>
        <v>1.9143086510536391E-7</v>
      </c>
    </row>
    <row r="198" spans="2:11" hidden="1" x14ac:dyDescent="0.25">
      <c r="B198" s="257">
        <v>59</v>
      </c>
      <c r="C198" s="258">
        <f t="shared" si="13"/>
        <v>7.5542063271370544E-6</v>
      </c>
      <c r="D198" s="258">
        <f t="shared" si="18"/>
        <v>0</v>
      </c>
      <c r="E198" s="258">
        <f>0</f>
        <v>0</v>
      </c>
      <c r="F198" s="258">
        <f>C198*I137+D198*J137+E198*K137</f>
        <v>6.247019921918726E-6</v>
      </c>
      <c r="G198" s="258">
        <f>((C198*(1-I137))-(D198*J137)+(E198*(1-K137)))*F137*G137</f>
        <v>8.7145760347888541E-7</v>
      </c>
      <c r="H198" s="261">
        <f t="shared" si="17"/>
        <v>0.94781499999999996</v>
      </c>
      <c r="I198" s="258">
        <f>G198*(1-H198)*(1-E137)</f>
        <v>4.0929313533791103E-8</v>
      </c>
      <c r="J198" s="261">
        <f t="shared" si="16"/>
        <v>0.79816000000000009</v>
      </c>
      <c r="K198" s="258">
        <f>G198*(1-J198)*(1-E137)</f>
        <v>1.5830550241756033E-7</v>
      </c>
    </row>
    <row r="199" spans="2:11" hidden="1" x14ac:dyDescent="0.25">
      <c r="B199" s="257">
        <v>60</v>
      </c>
      <c r="C199" s="258">
        <f t="shared" si="13"/>
        <v>6.247019921918726E-6</v>
      </c>
      <c r="D199" s="258">
        <f t="shared" si="18"/>
        <v>0</v>
      </c>
      <c r="E199" s="258">
        <f>0</f>
        <v>0</v>
      </c>
      <c r="F199" s="258">
        <f>C199*I137+D199*J137+E199*K137</f>
        <v>5.1660301843568401E-6</v>
      </c>
      <c r="G199" s="258">
        <f>((C199*(1-I137))-(D199*J137)+(E199*(1-K137)))*F137*G137</f>
        <v>7.2065982504125707E-7</v>
      </c>
      <c r="H199" s="261">
        <f t="shared" si="17"/>
        <v>0.94781499999999996</v>
      </c>
      <c r="I199" s="258">
        <f>G199*(1-H199)*(1-E137)</f>
        <v>3.3846869672800222E-8</v>
      </c>
      <c r="J199" s="261">
        <f t="shared" si="16"/>
        <v>0.79816000000000009</v>
      </c>
      <c r="K199" s="258">
        <f>G199*(1-J199)*(1-E137)</f>
        <v>1.3091218117769454E-7</v>
      </c>
    </row>
    <row r="200" spans="2:11" hidden="1" x14ac:dyDescent="0.25">
      <c r="B200" s="257">
        <v>61</v>
      </c>
      <c r="C200" s="258">
        <f t="shared" si="13"/>
        <v>5.1660301843568401E-6</v>
      </c>
      <c r="D200" s="258">
        <f t="shared" si="18"/>
        <v>0</v>
      </c>
      <c r="E200" s="258">
        <f>0</f>
        <v>0</v>
      </c>
      <c r="F200" s="258">
        <f>C200*I137+D200*J137+E200*K137</f>
        <v>4.2720958471810008E-6</v>
      </c>
      <c r="G200" s="258">
        <f>((C200*(1-I137))-(D200*J137)+(E200*(1-K137)))*F137*G137</f>
        <v>5.959562247838929E-7</v>
      </c>
      <c r="H200" s="261">
        <f t="shared" si="17"/>
        <v>0.94781499999999996</v>
      </c>
      <c r="I200" s="258">
        <f>G200*(1-H200)*(1-E137)</f>
        <v>2.7989978031312724E-8</v>
      </c>
      <c r="J200" s="261">
        <v>0</v>
      </c>
      <c r="K200" s="258">
        <f>G200*(1-J200)*(1-E137)</f>
        <v>5.3636060230550359E-7</v>
      </c>
    </row>
    <row r="201" spans="2:11" hidden="1" x14ac:dyDescent="0.25">
      <c r="B201" s="257">
        <v>62</v>
      </c>
      <c r="C201" s="258">
        <f t="shared" si="13"/>
        <v>4.2720958471810008E-6</v>
      </c>
      <c r="D201" s="258">
        <f t="shared" si="18"/>
        <v>0</v>
      </c>
      <c r="E201" s="258">
        <f>0</f>
        <v>0</v>
      </c>
      <c r="F201" s="258">
        <f>C201*I137+D201*J137+E201*K137</f>
        <v>3.5328486819078348E-6</v>
      </c>
      <c r="G201" s="258">
        <f>((C201*(1-I137))-(D201*J137)+(E201*(1-K137)))*F137*G137</f>
        <v>4.9283144351544379E-7</v>
      </c>
      <c r="H201" s="261">
        <f t="shared" si="17"/>
        <v>0.94781499999999996</v>
      </c>
      <c r="I201" s="258">
        <f>G201*(1-H201)*(1-E137)</f>
        <v>2.3146567991868107E-8</v>
      </c>
      <c r="J201" s="261">
        <v>0</v>
      </c>
      <c r="K201" s="258">
        <f>G201*(1-J201)*(1-E137)</f>
        <v>4.4354829916389944E-7</v>
      </c>
    </row>
    <row r="202" spans="2:11" hidden="1" x14ac:dyDescent="0.25">
      <c r="B202" s="257">
        <v>63</v>
      </c>
      <c r="C202" s="258">
        <f t="shared" si="13"/>
        <v>3.5328486819078348E-6</v>
      </c>
      <c r="D202" s="258">
        <f t="shared" si="18"/>
        <v>0</v>
      </c>
      <c r="E202" s="258">
        <f>0</f>
        <v>0</v>
      </c>
      <c r="F202" s="258">
        <f>C202*I137+D202*J137+E202*K137</f>
        <v>2.9215214863434521E-6</v>
      </c>
      <c r="G202" s="258">
        <f>((C202*(1-I137))-(D202*J137)+(E202*(1-K137)))*F137*G137</f>
        <v>4.0755146370958849E-7</v>
      </c>
      <c r="H202" s="261">
        <f t="shared" si="17"/>
        <v>0.94781499999999996</v>
      </c>
      <c r="I202" s="258">
        <f>G202*(1-H202)*(1-E137)</f>
        <v>1.9141265820316401E-8</v>
      </c>
      <c r="J202" s="261">
        <v>0</v>
      </c>
      <c r="K202" s="258">
        <f>G202*(1-J202)*(1-E137)</f>
        <v>3.6679631733862965E-7</v>
      </c>
    </row>
    <row r="203" spans="2:11" hidden="1" x14ac:dyDescent="0.25">
      <c r="B203" s="257">
        <v>64</v>
      </c>
      <c r="C203" s="258">
        <f t="shared" si="13"/>
        <v>2.9215214863434521E-6</v>
      </c>
      <c r="D203" s="258">
        <f t="shared" si="18"/>
        <v>0</v>
      </c>
      <c r="E203" s="258">
        <f>0</f>
        <v>0</v>
      </c>
      <c r="F203" s="258">
        <f>C203*I137+D203*J137+E203*K137</f>
        <v>2.4159788781435057E-6</v>
      </c>
      <c r="G203" s="258">
        <f>((C203*(1-I137))-(D203*J137)+(E203*(1-K137)))*F137*G137</f>
        <v>3.3702840546663091E-7</v>
      </c>
      <c r="H203" s="261">
        <f t="shared" si="17"/>
        <v>0.94781499999999996</v>
      </c>
      <c r="I203" s="258">
        <f>G203*(1-H203)*(1-E137)</f>
        <v>1.582904460534853E-8</v>
      </c>
      <c r="J203" s="261">
        <v>0</v>
      </c>
      <c r="K203" s="258">
        <f>G203*(1-J203)*(1-E137)</f>
        <v>3.0332556491996784E-7</v>
      </c>
    </row>
    <row r="204" spans="2:11" hidden="1" x14ac:dyDescent="0.25">
      <c r="B204" s="257">
        <v>65</v>
      </c>
      <c r="C204" s="258">
        <f t="shared" si="13"/>
        <v>2.4159788781435057E-6</v>
      </c>
      <c r="D204" s="258">
        <f t="shared" si="18"/>
        <v>0</v>
      </c>
      <c r="E204" s="258">
        <f>0</f>
        <v>0</v>
      </c>
      <c r="F204" s="258">
        <f>C204*I137+D204*J137+E204*K137</f>
        <v>1.9979158006950093E-6</v>
      </c>
      <c r="G204" s="258">
        <f>((C204*(1-I137))-(D204*J137)+(E204*(1-K137)))*F137*G137</f>
        <v>2.7870871829899744E-7</v>
      </c>
      <c r="H204" s="261">
        <f t="shared" si="17"/>
        <v>0.94781499999999996</v>
      </c>
      <c r="I204" s="258">
        <f>G204*(1-H204)*(1-E137)</f>
        <v>1.3089973017989873E-8</v>
      </c>
      <c r="J204" s="261">
        <v>0</v>
      </c>
      <c r="K204" s="258">
        <f>G204*(1-J204)*(1-E137)</f>
        <v>2.5083784646909771E-7</v>
      </c>
    </row>
    <row r="205" spans="2:11" hidden="1" x14ac:dyDescent="0.25">
      <c r="B205" s="257">
        <v>66</v>
      </c>
      <c r="C205" s="258">
        <f t="shared" ref="C205:C239" si="19">F204</f>
        <v>1.9979158006950093E-6</v>
      </c>
      <c r="D205" s="258">
        <f t="shared" si="18"/>
        <v>0</v>
      </c>
      <c r="E205" s="258">
        <f>0</f>
        <v>0</v>
      </c>
      <c r="F205" s="258">
        <f>C205*I137+D205*J137+E205*K137</f>
        <v>1.6521947202345042E-6</v>
      </c>
      <c r="G205" s="258">
        <f>((C205*(1-I137))-(D205*J137)+(E205*(1-K137)))*F137*G137</f>
        <v>2.3048072030700344E-7</v>
      </c>
      <c r="H205" s="261">
        <f t="shared" si="17"/>
        <v>0.94781499999999996</v>
      </c>
      <c r="I205" s="258">
        <f>G205*(1-H205)*(1-E137)</f>
        <v>1.0824872750298884E-8</v>
      </c>
      <c r="J205" s="261">
        <v>0</v>
      </c>
      <c r="K205" s="258">
        <f>G205*(1-J205)*(1-E137)</f>
        <v>2.074326482763031E-7</v>
      </c>
    </row>
    <row r="206" spans="2:11" hidden="1" x14ac:dyDescent="0.25">
      <c r="B206" s="257">
        <v>67</v>
      </c>
      <c r="C206" s="258">
        <f t="shared" si="19"/>
        <v>1.6521947202345042E-6</v>
      </c>
      <c r="D206" s="258">
        <f t="shared" si="18"/>
        <v>0</v>
      </c>
      <c r="E206" s="258">
        <f>0</f>
        <v>0</v>
      </c>
      <c r="F206" s="258">
        <f>C206*I137+D206*J137+E206*K137</f>
        <v>1.3662975149509214E-6</v>
      </c>
      <c r="G206" s="258">
        <f>((C206*(1-I137))-(D206*J137)+(E206*(1-K137)))*F137*G137</f>
        <v>1.9059813685572188E-7</v>
      </c>
      <c r="H206" s="261">
        <f t="shared" si="17"/>
        <v>0.94781499999999996</v>
      </c>
      <c r="I206" s="258">
        <f>G206*(1-H206)*(1-E137)</f>
        <v>8.9517273946342668E-9</v>
      </c>
      <c r="J206" s="261">
        <v>0</v>
      </c>
      <c r="K206" s="258">
        <f>G206*(1-J206)*(1-E137)</f>
        <v>1.7153832317014969E-7</v>
      </c>
    </row>
    <row r="207" spans="2:11" hidden="1" x14ac:dyDescent="0.25">
      <c r="B207" s="257">
        <v>68</v>
      </c>
      <c r="C207" s="258">
        <f t="shared" si="19"/>
        <v>1.3662975149509214E-6</v>
      </c>
      <c r="D207" s="258">
        <f t="shared" si="18"/>
        <v>0</v>
      </c>
      <c r="E207" s="258">
        <f>0</f>
        <v>0</v>
      </c>
      <c r="F207" s="258">
        <f>C207*I137+D207*J137+E207*K137</f>
        <v>1.129872209672782E-6</v>
      </c>
      <c r="G207" s="258">
        <f>((C207*(1-I137))-(D207*J137)+(E207*(1-K137)))*F137*G137</f>
        <v>1.5761687018542621E-7</v>
      </c>
      <c r="H207" s="261">
        <f t="shared" si="17"/>
        <v>0.94781499999999996</v>
      </c>
      <c r="I207" s="258">
        <f>G207*(1-H207)*(1-E137)</f>
        <v>7.4027127335638257E-9</v>
      </c>
      <c r="J207" s="261">
        <v>0</v>
      </c>
      <c r="K207" s="258">
        <f>G207*(1-J207)*(1-E137)</f>
        <v>1.4185518316688359E-7</v>
      </c>
    </row>
    <row r="208" spans="2:11" hidden="1" x14ac:dyDescent="0.25">
      <c r="B208" s="257">
        <v>69</v>
      </c>
      <c r="C208" s="258">
        <f t="shared" si="19"/>
        <v>1.129872209672782E-6</v>
      </c>
      <c r="D208" s="258">
        <f t="shared" si="18"/>
        <v>0</v>
      </c>
      <c r="E208" s="258">
        <f>0</f>
        <v>0</v>
      </c>
      <c r="F208" s="258">
        <f>C208*I137+D208*J137+E208*K137</f>
        <v>9.3435814397767687E-7</v>
      </c>
      <c r="G208" s="258">
        <f>((C208*(1-I137))-(D208*J137)+(E208*(1-K137)))*F137*G137</f>
        <v>1.3034271046340344E-7</v>
      </c>
      <c r="H208" s="261">
        <f t="shared" si="17"/>
        <v>0.94781499999999996</v>
      </c>
      <c r="I208" s="258">
        <f>G208*(1-H208)*(1-E137)</f>
        <v>6.1217409109794424E-9</v>
      </c>
      <c r="J208" s="261">
        <v>0</v>
      </c>
      <c r="K208" s="258">
        <f>G208*(1-J208)*(1-E137)</f>
        <v>1.173084394170631E-7</v>
      </c>
    </row>
    <row r="209" spans="2:11" hidden="1" x14ac:dyDescent="0.25">
      <c r="B209" s="257">
        <v>70</v>
      </c>
      <c r="C209" s="258">
        <f t="shared" si="19"/>
        <v>9.3435814397767687E-7</v>
      </c>
      <c r="D209" s="258">
        <f t="shared" si="18"/>
        <v>0</v>
      </c>
      <c r="E209" s="258">
        <f>0</f>
        <v>0</v>
      </c>
      <c r="F209" s="258">
        <f>C209*I137+D209*J137+E209*K137</f>
        <v>7.7267600153670708E-7</v>
      </c>
      <c r="G209" s="258">
        <f>((C209*(1-I137))-(D209*J137)+(E209*(1-K137)))*F137*G137</f>
        <v>1.0778809496064652E-7</v>
      </c>
      <c r="H209" s="261">
        <f t="shared" si="17"/>
        <v>0.94781499999999996</v>
      </c>
      <c r="I209" s="258">
        <f>G209*(1-H209)*(1-E137)</f>
        <v>5.0624295619692081E-9</v>
      </c>
      <c r="J209" s="261">
        <v>0</v>
      </c>
      <c r="K209" s="258">
        <f>G209*(1-J209)*(1-E137)</f>
        <v>9.7009285464581869E-8</v>
      </c>
    </row>
    <row r="210" spans="2:11" hidden="1" x14ac:dyDescent="0.25">
      <c r="B210" s="257">
        <v>71</v>
      </c>
      <c r="C210" s="258">
        <f t="shared" si="19"/>
        <v>7.7267600153670708E-7</v>
      </c>
      <c r="D210" s="258">
        <f t="shared" si="18"/>
        <v>0</v>
      </c>
      <c r="E210" s="258">
        <f>0</f>
        <v>0</v>
      </c>
      <c r="F210" s="258">
        <f>C210*I137+D210*J137+E210*K137</f>
        <v>6.389714770496154E-7</v>
      </c>
      <c r="G210" s="258">
        <f>((C210*(1-I137))-(D210*J137)+(E210*(1-K137)))*F137*G137</f>
        <v>8.9136349658061148E-8</v>
      </c>
      <c r="H210" s="261">
        <f t="shared" si="17"/>
        <v>0.94781499999999996</v>
      </c>
      <c r="I210" s="258">
        <f>G210*(1-H210)*(1-E137)</f>
        <v>4.1864223662153324E-9</v>
      </c>
      <c r="J210" s="261">
        <v>0</v>
      </c>
      <c r="K210" s="258">
        <f>G210*(1-J210)*(1-E137)</f>
        <v>8.0222714692255038E-8</v>
      </c>
    </row>
    <row r="211" spans="2:11" hidden="1" x14ac:dyDescent="0.25">
      <c r="B211" s="257">
        <v>72</v>
      </c>
      <c r="C211" s="258">
        <f t="shared" si="19"/>
        <v>6.389714770496154E-7</v>
      </c>
      <c r="D211" s="258">
        <f t="shared" si="18"/>
        <v>0</v>
      </c>
      <c r="E211" s="258">
        <f>0</f>
        <v>0</v>
      </c>
      <c r="F211" s="258">
        <f>C211*I137+D211*J137+E211*K137</f>
        <v>5.2840329927546093E-7</v>
      </c>
      <c r="G211" s="258">
        <f>((C211*(1-I137))-(D211*J137)+(E211*(1-K137)))*F137*G137</f>
        <v>7.3712118516102968E-8</v>
      </c>
      <c r="H211" s="261">
        <f t="shared" si="17"/>
        <v>0.94781499999999996</v>
      </c>
      <c r="I211" s="258">
        <f>G211*(1-H211)*(1-E137)</f>
        <v>3.4620002142865522E-9</v>
      </c>
      <c r="J211" s="261">
        <v>0</v>
      </c>
      <c r="K211" s="258">
        <f>G211*(1-J211)*(1-E137)</f>
        <v>6.6340906664492677E-8</v>
      </c>
    </row>
    <row r="212" spans="2:11" hidden="1" x14ac:dyDescent="0.25">
      <c r="B212" s="257">
        <v>73</v>
      </c>
      <c r="C212" s="258">
        <f t="shared" si="19"/>
        <v>5.2840329927546093E-7</v>
      </c>
      <c r="D212" s="258">
        <f t="shared" si="18"/>
        <v>0</v>
      </c>
      <c r="E212" s="258">
        <f>0</f>
        <v>0</v>
      </c>
      <c r="F212" s="258">
        <f>C212*I137+D212*J137+E212*K137</f>
        <v>4.3696793474165045E-7</v>
      </c>
      <c r="G212" s="258">
        <f>((C212*(1-I137))-(D212*J137)+(E212*(1-K137)))*F137*G137</f>
        <v>6.0956909689206988E-8</v>
      </c>
      <c r="H212" s="261">
        <f t="shared" si="17"/>
        <v>0.94781499999999996</v>
      </c>
      <c r="I212" s="258">
        <f>G212*(1-H212)*(1-E137)</f>
        <v>2.8629326989181423E-9</v>
      </c>
      <c r="J212" s="261">
        <v>0</v>
      </c>
      <c r="K212" s="258">
        <f>G212*(1-J212)*(1-E137)</f>
        <v>5.4861218720286293E-8</v>
      </c>
    </row>
    <row r="213" spans="2:11" hidden="1" x14ac:dyDescent="0.25">
      <c r="B213" s="257">
        <v>74</v>
      </c>
      <c r="C213" s="258">
        <f t="shared" si="19"/>
        <v>4.3696793474165045E-7</v>
      </c>
      <c r="D213" s="258">
        <f t="shared" si="18"/>
        <v>0</v>
      </c>
      <c r="E213" s="258">
        <f>0</f>
        <v>0</v>
      </c>
      <c r="F213" s="258">
        <f>C213*I137+D213*J137+E213*K137</f>
        <v>3.613546248749749E-7</v>
      </c>
      <c r="G213" s="258">
        <f>((C213*(1-I137))-(D213*J137)+(E213*(1-K137)))*F137*G137</f>
        <v>5.0408873244450361E-8</v>
      </c>
      <c r="H213" s="261">
        <f t="shared" si="17"/>
        <v>0.94781499999999996</v>
      </c>
      <c r="I213" s="258">
        <f>G213*(1-H213)*(1-E137)</f>
        <v>2.3675283452354797E-9</v>
      </c>
      <c r="J213" s="261">
        <v>0</v>
      </c>
      <c r="K213" s="258">
        <f>G213*(1-J213)*(1-E137)</f>
        <v>4.5367985920005324E-8</v>
      </c>
    </row>
    <row r="214" spans="2:11" hidden="1" x14ac:dyDescent="0.25">
      <c r="B214" s="257">
        <v>75</v>
      </c>
      <c r="C214" s="258">
        <f t="shared" si="19"/>
        <v>3.613546248749749E-7</v>
      </c>
      <c r="D214" s="258">
        <f t="shared" si="18"/>
        <v>0</v>
      </c>
      <c r="E214" s="258">
        <f>0</f>
        <v>0</v>
      </c>
      <c r="F214" s="258">
        <f>C214*I137+D214*J137+E214*K137</f>
        <v>2.9882550763303779E-7</v>
      </c>
      <c r="G214" s="258">
        <f>((C214*(1-I137))-(D214*J137)+(E214*(1-K137)))*F137*G137</f>
        <v>4.1686078161291397E-8</v>
      </c>
      <c r="H214" s="261">
        <f t="shared" ref="H214:H239" si="20">0.95*0.9977</f>
        <v>0.94781499999999996</v>
      </c>
      <c r="I214" s="258">
        <f>G214*(1-H214)*(1-E137)</f>
        <v>1.9578491899622939E-9</v>
      </c>
      <c r="J214" s="261">
        <v>0</v>
      </c>
      <c r="K214" s="258">
        <f>G214*(1-J214)*(1-E137)</f>
        <v>3.7517470345162255E-8</v>
      </c>
    </row>
    <row r="215" spans="2:11" hidden="1" x14ac:dyDescent="0.25">
      <c r="B215" s="257">
        <v>76</v>
      </c>
      <c r="C215" s="258">
        <f t="shared" si="19"/>
        <v>2.9882550763303779E-7</v>
      </c>
      <c r="D215" s="258">
        <f t="shared" si="18"/>
        <v>0</v>
      </c>
      <c r="E215" s="258">
        <f>0</f>
        <v>0</v>
      </c>
      <c r="F215" s="258">
        <f>C215*I137+D215*J137+E215*K137</f>
        <v>2.4711648299240254E-7</v>
      </c>
      <c r="G215" s="258">
        <f>((C215*(1-I137))-(D215*J137)+(E215*(1-K137)))*F137*G137</f>
        <v>3.4472683093756841E-8</v>
      </c>
      <c r="H215" s="261">
        <f t="shared" si="20"/>
        <v>0.94781499999999996</v>
      </c>
      <c r="I215" s="258">
        <f>G215*(1-H215)*(1-E137)</f>
        <v>1.6190612705229319E-9</v>
      </c>
      <c r="J215" s="261">
        <v>0</v>
      </c>
      <c r="K215" s="258">
        <f>G215*(1-J215)*(1-E137)</f>
        <v>3.1025414784381157E-8</v>
      </c>
    </row>
    <row r="216" spans="2:11" hidden="1" x14ac:dyDescent="0.25">
      <c r="B216" s="257">
        <v>77</v>
      </c>
      <c r="C216" s="258">
        <f t="shared" si="19"/>
        <v>2.4711648299240254E-7</v>
      </c>
      <c r="D216" s="258">
        <f t="shared" si="18"/>
        <v>0</v>
      </c>
      <c r="E216" s="258">
        <f>0</f>
        <v>0</v>
      </c>
      <c r="F216" s="258">
        <f>C216*I137+D216*J137+E216*K137</f>
        <v>2.0435523275852682E-7</v>
      </c>
      <c r="G216" s="258">
        <f>((C216*(1-I137))-(D216*J137)+(E216*(1-K137)))*F137*G137</f>
        <v>2.8507500155917145E-8</v>
      </c>
      <c r="H216" s="261">
        <f t="shared" si="20"/>
        <v>0.94781499999999996</v>
      </c>
      <c r="I216" s="258">
        <f>G216*(1-H216)*(1-E137)</f>
        <v>1.3388975060728836E-9</v>
      </c>
      <c r="J216" s="261">
        <v>0</v>
      </c>
      <c r="K216" s="258">
        <f>G216*(1-J216)*(1-E137)</f>
        <v>2.5656750140325433E-8</v>
      </c>
    </row>
    <row r="217" spans="2:11" hidden="1" x14ac:dyDescent="0.25">
      <c r="B217" s="257">
        <v>78</v>
      </c>
      <c r="C217" s="258">
        <f t="shared" si="19"/>
        <v>2.0435523275852682E-7</v>
      </c>
      <c r="D217" s="258">
        <f t="shared" si="18"/>
        <v>0</v>
      </c>
      <c r="E217" s="258">
        <f>0</f>
        <v>0</v>
      </c>
      <c r="F217" s="258">
        <f>C217*I137+D217*J137+E217*K137</f>
        <v>1.6899342629878555E-7</v>
      </c>
      <c r="G217" s="258">
        <f>((C217*(1-I137))-(D217*J137)+(E217*(1-K137)))*F137*G137</f>
        <v>2.3574537639827505E-8</v>
      </c>
      <c r="H217" s="261">
        <f t="shared" si="20"/>
        <v>0.94781499999999996</v>
      </c>
      <c r="I217" s="258">
        <f>G217*(1-H217)*(1-E137)</f>
        <v>1.1072135220609593E-9</v>
      </c>
      <c r="J217" s="261">
        <v>0</v>
      </c>
      <c r="K217" s="258">
        <f>G217*(1-J217)*(1-E137)</f>
        <v>2.1217083875844754E-8</v>
      </c>
    </row>
    <row r="218" spans="2:11" hidden="1" x14ac:dyDescent="0.25">
      <c r="B218" s="257">
        <v>79</v>
      </c>
      <c r="C218" s="258">
        <f t="shared" si="19"/>
        <v>1.6899342629878555E-7</v>
      </c>
      <c r="D218" s="258">
        <f t="shared" si="18"/>
        <v>0</v>
      </c>
      <c r="E218" s="258">
        <f>0</f>
        <v>0</v>
      </c>
      <c r="F218" s="258">
        <f>C218*I137+D218*J137+E218*K137</f>
        <v>1.3975065745416511E-7</v>
      </c>
      <c r="G218" s="258">
        <f>((C218*(1-I137))-(D218*J137)+(E218*(1-K137)))*F137*G137</f>
        <v>1.9495179229746951E-8</v>
      </c>
      <c r="H218" s="261">
        <f t="shared" si="20"/>
        <v>0.94781499999999996</v>
      </c>
      <c r="I218" s="258">
        <f>G218*(1-H218)*(1-E137)</f>
        <v>9.1562033529391085E-10</v>
      </c>
      <c r="J218" s="261">
        <v>0</v>
      </c>
      <c r="K218" s="258">
        <f>G218*(1-J218)*(1-E137)</f>
        <v>1.7545661306772257E-8</v>
      </c>
    </row>
    <row r="219" spans="2:11" hidden="1" x14ac:dyDescent="0.25">
      <c r="B219" s="257">
        <v>80</v>
      </c>
      <c r="C219" s="258">
        <f t="shared" si="19"/>
        <v>1.3975065745416511E-7</v>
      </c>
      <c r="D219" s="258">
        <f t="shared" si="18"/>
        <v>0</v>
      </c>
      <c r="E219" s="258">
        <f>0</f>
        <v>0</v>
      </c>
      <c r="F219" s="258">
        <f>C219*I137+D219*J137+E219*K137</f>
        <v>1.1556808265631187E-7</v>
      </c>
      <c r="G219" s="258">
        <f>((C219*(1-I137))-(D219*J137)+(E219*(1-K137)))*F137*G137</f>
        <v>1.612171653190216E-8</v>
      </c>
      <c r="H219" s="261">
        <f t="shared" si="20"/>
        <v>0.94781499999999996</v>
      </c>
      <c r="I219" s="258">
        <f>G219*(1-H219)*(1-E137)</f>
        <v>7.5718059949558335E-10</v>
      </c>
      <c r="J219" s="261">
        <v>0</v>
      </c>
      <c r="K219" s="258">
        <f>G219*(1-J219)*(1-E137)</f>
        <v>1.4509544878711944E-8</v>
      </c>
    </row>
    <row r="220" spans="2:11" hidden="1" x14ac:dyDescent="0.25">
      <c r="B220" s="257">
        <v>81</v>
      </c>
      <c r="C220" s="258">
        <f t="shared" si="19"/>
        <v>1.1556808265631187E-7</v>
      </c>
      <c r="D220" s="258">
        <f t="shared" si="18"/>
        <v>0</v>
      </c>
      <c r="E220" s="258">
        <f>0</f>
        <v>0</v>
      </c>
      <c r="F220" s="258">
        <f>C220*I137+D220*J137+E220*K137</f>
        <v>9.5570081544958569E-8</v>
      </c>
      <c r="G220" s="258">
        <f>((C220*(1-I137))-(D220*J137)+(E220*(1-K137)))*F137*G137</f>
        <v>1.3332000740902199E-8</v>
      </c>
      <c r="H220" s="261">
        <f t="shared" si="20"/>
        <v>0.94781499999999996</v>
      </c>
      <c r="I220" s="258">
        <f>G220*(1-H220)*(1-E137)</f>
        <v>6.2615741279758354E-10</v>
      </c>
      <c r="J220" s="261">
        <v>0</v>
      </c>
      <c r="K220" s="258">
        <f>G220*(1-J220)*(1-E137)</f>
        <v>1.1998800666811978E-8</v>
      </c>
    </row>
    <row r="221" spans="2:11" hidden="1" x14ac:dyDescent="0.25">
      <c r="B221" s="257">
        <v>82</v>
      </c>
      <c r="C221" s="258">
        <f t="shared" si="19"/>
        <v>9.5570081544958569E-8</v>
      </c>
      <c r="D221" s="258">
        <f t="shared" si="18"/>
        <v>0</v>
      </c>
      <c r="E221" s="258">
        <f>0</f>
        <v>0</v>
      </c>
      <c r="F221" s="258">
        <f>C221*I137+D221*J137+E221*K137</f>
        <v>7.9032551865315455E-8</v>
      </c>
      <c r="G221" s="258">
        <f>((C221*(1-I137))-(D221*J137)+(E221*(1-K137)))*F137*G137</f>
        <v>1.1025019786428745E-8</v>
      </c>
      <c r="H221" s="261">
        <f t="shared" si="20"/>
        <v>0.94781499999999996</v>
      </c>
      <c r="I221" s="258">
        <f>G221*(1-H221)*(1-E137)</f>
        <v>5.1780659179930602E-10</v>
      </c>
      <c r="J221" s="261">
        <v>0</v>
      </c>
      <c r="K221" s="258">
        <f>G221*(1-J221)*(1-E137)</f>
        <v>9.9225178077858697E-9</v>
      </c>
    </row>
    <row r="222" spans="2:11" hidden="1" x14ac:dyDescent="0.25">
      <c r="B222" s="257">
        <v>83</v>
      </c>
      <c r="C222" s="258">
        <f t="shared" si="19"/>
        <v>7.9032551865315455E-8</v>
      </c>
      <c r="D222" s="258">
        <f t="shared" si="18"/>
        <v>0</v>
      </c>
      <c r="E222" s="258">
        <f>0</f>
        <v>0</v>
      </c>
      <c r="F222" s="258">
        <f>C222*I137+D222*J137+E222*K137</f>
        <v>6.5356690643875134E-8</v>
      </c>
      <c r="G222" s="258">
        <f>((C222*(1-I137))-(D222*J137)+(E222*(1-K137)))*F137*G137</f>
        <v>9.1172408142935491E-9</v>
      </c>
      <c r="H222" s="261">
        <f t="shared" si="20"/>
        <v>0.94781499999999996</v>
      </c>
      <c r="I222" s="258">
        <f>G222*(1-H222)*(1-E137)</f>
        <v>4.2820489070451831E-10</v>
      </c>
      <c r="J222" s="261">
        <v>0</v>
      </c>
      <c r="K222" s="258">
        <f>G222*(1-J222)*(1-E137)</f>
        <v>8.2055167328641941E-9</v>
      </c>
    </row>
    <row r="223" spans="2:11" hidden="1" x14ac:dyDescent="0.25">
      <c r="B223" s="257">
        <v>84</v>
      </c>
      <c r="C223" s="258">
        <f t="shared" si="19"/>
        <v>6.5356690643875134E-8</v>
      </c>
      <c r="D223" s="258">
        <f t="shared" ref="D223:D239" si="21">E222</f>
        <v>0</v>
      </c>
      <c r="E223" s="258">
        <f>0</f>
        <v>0</v>
      </c>
      <c r="F223" s="258">
        <f>C223*I137+D223*J137+E223*K137</f>
        <v>5.4047312292263227E-8</v>
      </c>
      <c r="G223" s="258">
        <f>((C223*(1-I137))-(D223*J137)+(E223*(1-K137)))*F137*G137</f>
        <v>7.5395855677412683E-9</v>
      </c>
      <c r="H223" s="261">
        <f t="shared" si="20"/>
        <v>0.94781499999999996</v>
      </c>
      <c r="I223" s="258">
        <f>G223*(1-H223)*(1-E137)</f>
        <v>3.5410794556732056E-10</v>
      </c>
      <c r="J223" s="261">
        <v>0</v>
      </c>
      <c r="K223" s="258">
        <f>G223*(1-J223)*(1-E137)</f>
        <v>6.7856270109671416E-9</v>
      </c>
    </row>
    <row r="224" spans="2:11" hidden="1" x14ac:dyDescent="0.25">
      <c r="B224" s="257">
        <v>85</v>
      </c>
      <c r="C224" s="258">
        <f t="shared" si="19"/>
        <v>5.4047312292263227E-8</v>
      </c>
      <c r="D224" s="258">
        <f t="shared" si="21"/>
        <v>0</v>
      </c>
      <c r="E224" s="258">
        <f>0</f>
        <v>0</v>
      </c>
      <c r="F224" s="258">
        <f>C224*I137+D224*J137+E224*K137</f>
        <v>4.4694918565176439E-8</v>
      </c>
      <c r="G224" s="258">
        <f>((C224*(1-I137))-(D224*J137)+(E224*(1-K137)))*F137*G137</f>
        <v>6.2349291513911927E-9</v>
      </c>
      <c r="H224" s="261">
        <f t="shared" si="20"/>
        <v>0.94781499999999996</v>
      </c>
      <c r="I224" s="258">
        <f>G224*(1-H224)*(1-E137)</f>
        <v>2.9283279998881468E-10</v>
      </c>
      <c r="J224" s="261">
        <v>0</v>
      </c>
      <c r="K224" s="258">
        <f>G224*(1-J224)*(1-E137)</f>
        <v>5.6114362362520736E-9</v>
      </c>
    </row>
    <row r="225" spans="2:11" hidden="1" x14ac:dyDescent="0.25">
      <c r="B225" s="257">
        <v>86</v>
      </c>
      <c r="C225" s="258">
        <f t="shared" si="19"/>
        <v>4.4694918565176439E-8</v>
      </c>
      <c r="D225" s="258">
        <f t="shared" si="21"/>
        <v>0</v>
      </c>
      <c r="E225" s="258">
        <f>0</f>
        <v>0</v>
      </c>
      <c r="F225" s="258">
        <f>C225*I137+D225*J137+E225*K137</f>
        <v>3.6960871148327411E-8</v>
      </c>
      <c r="G225" s="258">
        <f>((C225*(1-I137))-(D225*J137)+(E225*(1-K137)))*F137*G137</f>
        <v>5.1560316112326835E-9</v>
      </c>
      <c r="H225" s="261">
        <f t="shared" si="20"/>
        <v>0.94781499999999996</v>
      </c>
      <c r="I225" s="258">
        <f>G225*(1-H225)*(1-E137)</f>
        <v>2.4216075866895999E-10</v>
      </c>
      <c r="J225" s="261">
        <v>0</v>
      </c>
      <c r="K225" s="258">
        <f>G225*(1-J225)*(1-E137)</f>
        <v>4.6404284501094151E-9</v>
      </c>
    </row>
    <row r="226" spans="2:11" hidden="1" x14ac:dyDescent="0.25">
      <c r="B226" s="257">
        <v>87</v>
      </c>
      <c r="C226" s="258">
        <f t="shared" si="19"/>
        <v>3.6960871148327411E-8</v>
      </c>
      <c r="D226" s="258">
        <f t="shared" si="21"/>
        <v>0</v>
      </c>
      <c r="E226" s="258">
        <f>0</f>
        <v>0</v>
      </c>
      <c r="F226" s="258">
        <f>C226*I137+D226*J137+E226*K137</f>
        <v>3.056512999461304E-8</v>
      </c>
      <c r="G226" s="258">
        <f>((C226*(1-I137))-(D226*J137)+(E226*(1-K137)))*F137*G137</f>
        <v>4.263827435809579E-9</v>
      </c>
      <c r="H226" s="261">
        <f t="shared" si="20"/>
        <v>0.94781499999999996</v>
      </c>
      <c r="I226" s="258">
        <f>G226*(1-H226)*(1-E137)</f>
        <v>2.0025705126395075E-10</v>
      </c>
      <c r="J226" s="261">
        <v>0</v>
      </c>
      <c r="K226" s="258">
        <f>G226*(1-J226)*(1-E137)</f>
        <v>3.837444692228621E-9</v>
      </c>
    </row>
    <row r="227" spans="2:11" hidden="1" x14ac:dyDescent="0.25">
      <c r="B227" s="257">
        <v>88</v>
      </c>
      <c r="C227" s="258">
        <f t="shared" si="19"/>
        <v>3.056512999461304E-8</v>
      </c>
      <c r="D227" s="258">
        <f t="shared" si="21"/>
        <v>0</v>
      </c>
      <c r="E227" s="258">
        <f>0</f>
        <v>0</v>
      </c>
      <c r="F227" s="258">
        <f>C227*I137+D227*J137+E227*K137</f>
        <v>2.5276113429211487E-8</v>
      </c>
      <c r="G227" s="258">
        <f>((C227*(1-I137))-(D227*J137)+(E227*(1-K137)))*F137*G137</f>
        <v>3.5260110436010365E-9</v>
      </c>
      <c r="H227" s="261">
        <f t="shared" si="20"/>
        <v>0.94781499999999996</v>
      </c>
      <c r="I227" s="258">
        <f>G227*(1-H227)*(1-E137)</f>
        <v>1.6560439767928819E-10</v>
      </c>
      <c r="J227" s="261">
        <v>0</v>
      </c>
      <c r="K227" s="258">
        <f>G227*(1-J227)*(1-E137)</f>
        <v>3.173409939240933E-9</v>
      </c>
    </row>
    <row r="228" spans="2:11" hidden="1" x14ac:dyDescent="0.25">
      <c r="B228" s="257">
        <v>89</v>
      </c>
      <c r="C228" s="258">
        <f t="shared" si="19"/>
        <v>2.5276113429211487E-8</v>
      </c>
      <c r="D228" s="258">
        <f t="shared" si="21"/>
        <v>0</v>
      </c>
      <c r="E228" s="258">
        <f>0</f>
        <v>0</v>
      </c>
      <c r="F228" s="258">
        <f>C228*I137+D228*J137+E228*K137</f>
        <v>2.0902312870874921E-8</v>
      </c>
      <c r="G228" s="258">
        <f>((C228*(1-I137))-(D228*J137)+(E228*(1-K137)))*F137*G137</f>
        <v>2.9158670388910439E-9</v>
      </c>
      <c r="H228" s="261">
        <f t="shared" si="20"/>
        <v>0.94781499999999996</v>
      </c>
      <c r="I228" s="258">
        <f>G228*(1-H228)*(1-E137)</f>
        <v>1.3694806928207631E-10</v>
      </c>
      <c r="J228" s="261">
        <v>0</v>
      </c>
      <c r="K228" s="258">
        <f>G228*(1-J228)*(1-E137)</f>
        <v>2.6242803350019396E-9</v>
      </c>
    </row>
    <row r="229" spans="2:11" hidden="1" x14ac:dyDescent="0.25">
      <c r="B229" s="257">
        <v>90</v>
      </c>
      <c r="C229" s="258">
        <f t="shared" si="19"/>
        <v>2.0902312870874921E-8</v>
      </c>
      <c r="D229" s="258">
        <f t="shared" si="21"/>
        <v>0</v>
      </c>
      <c r="E229" s="258">
        <f>0</f>
        <v>0</v>
      </c>
      <c r="F229" s="258">
        <f>C229*I137+D229*J137+E229*K137</f>
        <v>1.7285358549111919E-8</v>
      </c>
      <c r="G229" s="258">
        <f>((C229*(1-I137))-(D229*J137)+(E229*(1-K137)))*F137*G137</f>
        <v>2.4113028811753345E-9</v>
      </c>
      <c r="H229" s="261">
        <f t="shared" si="20"/>
        <v>0.94781499999999996</v>
      </c>
      <c r="I229" s="258">
        <f>G229*(1-H229)*(1-E137)</f>
        <v>1.1325045676872143E-10</v>
      </c>
      <c r="J229" s="261">
        <v>0</v>
      </c>
      <c r="K229" s="258">
        <f>G229*(1-J229)*(1-E137)</f>
        <v>2.1701725930578013E-9</v>
      </c>
    </row>
    <row r="230" spans="2:11" hidden="1" x14ac:dyDescent="0.25">
      <c r="B230" s="257">
        <v>91</v>
      </c>
      <c r="C230" s="258">
        <f t="shared" si="19"/>
        <v>1.7285358549111919E-8</v>
      </c>
      <c r="D230" s="258">
        <f t="shared" si="21"/>
        <v>0</v>
      </c>
      <c r="E230" s="258">
        <f>0</f>
        <v>0</v>
      </c>
      <c r="F230" s="258">
        <f>C230*I137+D230*J137+E230*K137</f>
        <v>1.4294285135674087E-8</v>
      </c>
      <c r="G230" s="258">
        <f>((C230*(1-I137))-(D230*J137)+(E230*(1-K137)))*F137*G137</f>
        <v>1.9940489422918888E-9</v>
      </c>
      <c r="H230" s="261">
        <f t="shared" si="20"/>
        <v>0.94781499999999996</v>
      </c>
      <c r="I230" s="258">
        <f>G230*(1-H230)*(1-E137)</f>
        <v>9.3653499648152069E-11</v>
      </c>
      <c r="J230" s="261">
        <v>0</v>
      </c>
      <c r="K230" s="258">
        <f>G230*(1-J230)*(1-E137)</f>
        <v>1.7946440480627E-9</v>
      </c>
    </row>
    <row r="231" spans="2:11" hidden="1" x14ac:dyDescent="0.25">
      <c r="B231" s="257">
        <v>92</v>
      </c>
      <c r="C231" s="258">
        <f t="shared" si="19"/>
        <v>1.4294285135674087E-8</v>
      </c>
      <c r="D231" s="258">
        <f t="shared" si="21"/>
        <v>0</v>
      </c>
      <c r="E231" s="258">
        <f>0</f>
        <v>0</v>
      </c>
      <c r="F231" s="258">
        <f>C231*I137+D231*J137+E231*K137</f>
        <v>1.1820789656136519E-8</v>
      </c>
      <c r="G231" s="258">
        <f>((C231*(1-I137))-(D231*J137)+(E231*(1-K137)))*F137*G137</f>
        <v>1.6489969863583779E-9</v>
      </c>
      <c r="H231" s="261">
        <f t="shared" si="20"/>
        <v>0.94781499999999996</v>
      </c>
      <c r="I231" s="258">
        <f>G231*(1-H231)*(1-E137)</f>
        <v>7.7447616959800808E-11</v>
      </c>
      <c r="J231" s="261">
        <v>0</v>
      </c>
      <c r="K231" s="258">
        <f>G231*(1-J231)*(1-E137)</f>
        <v>1.4840972877225402E-9</v>
      </c>
    </row>
    <row r="232" spans="2:11" hidden="1" x14ac:dyDescent="0.25">
      <c r="B232" s="257">
        <v>93</v>
      </c>
      <c r="C232" s="258">
        <f t="shared" si="19"/>
        <v>1.1820789656136519E-8</v>
      </c>
      <c r="D232" s="258">
        <f t="shared" si="21"/>
        <v>0</v>
      </c>
      <c r="E232" s="258">
        <f>0</f>
        <v>0</v>
      </c>
      <c r="F232" s="258">
        <f>C232*I137+D232*J137+E232*K137</f>
        <v>9.7753099765653109E-9</v>
      </c>
      <c r="G232" s="258">
        <f>((C232*(1-I137))-(D232*J137)+(E232*(1-K137)))*F137*G137</f>
        <v>1.3636531197141386E-9</v>
      </c>
      <c r="H232" s="261">
        <f t="shared" si="20"/>
        <v>0.94781499999999996</v>
      </c>
      <c r="I232" s="258">
        <f>G232*(1-H232)*(1-E137)</f>
        <v>6.4046014247054138E-11</v>
      </c>
      <c r="J232" s="261">
        <v>0</v>
      </c>
      <c r="K232" s="258">
        <f>G232*(1-J232)*(1-E137)</f>
        <v>1.2272878077427248E-9</v>
      </c>
    </row>
    <row r="233" spans="2:11" hidden="1" x14ac:dyDescent="0.25">
      <c r="B233" s="257">
        <v>94</v>
      </c>
      <c r="C233" s="258">
        <f t="shared" si="19"/>
        <v>9.7753099765653109E-9</v>
      </c>
      <c r="D233" s="258">
        <f t="shared" si="21"/>
        <v>0</v>
      </c>
      <c r="E233" s="258">
        <f>0</f>
        <v>0</v>
      </c>
      <c r="F233" s="258">
        <f>C233*I137+D233*J137+E233*K137</f>
        <v>8.0837818722483582E-9</v>
      </c>
      <c r="G233" s="258">
        <f>((C233*(1-I137))-(D233*J137)+(E233*(1-K137)))*F137*G137</f>
        <v>1.1276854028779682E-9</v>
      </c>
      <c r="H233" s="261">
        <f t="shared" si="20"/>
        <v>0.94781499999999996</v>
      </c>
      <c r="I233" s="258">
        <f>G233*(1-H233)*(1-E137)</f>
        <v>5.296343647426813E-11</v>
      </c>
      <c r="J233" s="261">
        <v>0</v>
      </c>
      <c r="K233" s="258">
        <f>G233*(1-J233)*(1-E137)</f>
        <v>1.0149168625901715E-9</v>
      </c>
    </row>
    <row r="234" spans="2:11" hidden="1" x14ac:dyDescent="0.25">
      <c r="B234" s="257">
        <v>95</v>
      </c>
      <c r="C234" s="258">
        <f t="shared" si="19"/>
        <v>8.0837818722483582E-9</v>
      </c>
      <c r="D234" s="258">
        <f t="shared" si="21"/>
        <v>0</v>
      </c>
      <c r="E234" s="258">
        <f>0</f>
        <v>0</v>
      </c>
      <c r="F234" s="258">
        <f>C234*I137+D234*J137+E234*K137</f>
        <v>6.6849572560615543E-9</v>
      </c>
      <c r="G234" s="258">
        <f>((C234*(1-I137))-(D234*J137)+(E234*(1-K137)))*F137*G137</f>
        <v>9.3254974412453608E-10</v>
      </c>
      <c r="H234" s="261">
        <f t="shared" si="20"/>
        <v>0.94781499999999996</v>
      </c>
      <c r="I234" s="258">
        <f>G234*(1-H234)*(1-E137)</f>
        <v>4.3798597557425057E-11</v>
      </c>
      <c r="J234" s="261">
        <v>0</v>
      </c>
      <c r="K234" s="258">
        <f>G234*(1-J234)*(1-E137)</f>
        <v>8.3929476971208247E-10</v>
      </c>
    </row>
    <row r="235" spans="2:11" hidden="1" x14ac:dyDescent="0.25">
      <c r="B235" s="257">
        <v>96</v>
      </c>
      <c r="C235" s="258">
        <f t="shared" si="19"/>
        <v>6.6849572560615543E-9</v>
      </c>
      <c r="D235" s="258">
        <f t="shared" si="21"/>
        <v>0</v>
      </c>
      <c r="E235" s="258">
        <f>0</f>
        <v>0</v>
      </c>
      <c r="F235" s="258">
        <f>C235*I137+D235*J137+E235*K137</f>
        <v>5.5281864629210581E-9</v>
      </c>
      <c r="G235" s="258">
        <f>((C235*(1-I137))-(D235*J137)+(E235*(1-K137)))*F137*G137</f>
        <v>7.7118052876033047E-10</v>
      </c>
      <c r="H235" s="261">
        <f t="shared" si="20"/>
        <v>0.94781499999999996</v>
      </c>
      <c r="I235" s="258">
        <f>G235*(1-H235)*(1-E137)</f>
        <v>3.6219650304022089E-11</v>
      </c>
      <c r="J235" s="261">
        <v>0</v>
      </c>
      <c r="K235" s="258">
        <f>G235*(1-J235)*(1-E137)</f>
        <v>6.9406247588429748E-10</v>
      </c>
    </row>
    <row r="236" spans="2:11" hidden="1" x14ac:dyDescent="0.25">
      <c r="B236" s="257">
        <v>97</v>
      </c>
      <c r="C236" s="258">
        <f t="shared" si="19"/>
        <v>5.5281864629210581E-9</v>
      </c>
      <c r="D236" s="258">
        <f t="shared" si="21"/>
        <v>0</v>
      </c>
      <c r="E236" s="258">
        <f>0</f>
        <v>0</v>
      </c>
      <c r="F236" s="258">
        <f>C236*I137+D236*J137+E236*K137</f>
        <v>4.5715842896546177E-9</v>
      </c>
      <c r="G236" s="258">
        <f>((C236*(1-I137))-(D236*J137)+(E236*(1-K137)))*F137*G137</f>
        <v>6.3773478217762702E-10</v>
      </c>
      <c r="H236" s="261">
        <f t="shared" si="20"/>
        <v>0.94781499999999996</v>
      </c>
      <c r="I236" s="258">
        <f>G236*(1-H236)*(1-E137)</f>
        <v>2.9952170647145543E-11</v>
      </c>
      <c r="J236" s="261">
        <v>0</v>
      </c>
      <c r="K236" s="258">
        <f>G236*(1-J236)*(1-E137)</f>
        <v>5.739613039598643E-10</v>
      </c>
    </row>
    <row r="237" spans="2:11" hidden="1" x14ac:dyDescent="0.25">
      <c r="B237" s="257">
        <v>98</v>
      </c>
      <c r="C237" s="258">
        <f t="shared" si="19"/>
        <v>4.5715842896546177E-9</v>
      </c>
      <c r="D237" s="258">
        <f t="shared" si="21"/>
        <v>0</v>
      </c>
      <c r="E237" s="258">
        <f>0</f>
        <v>0</v>
      </c>
      <c r="F237" s="258">
        <f>C237*I137+D237*J137+E237*K137</f>
        <v>3.7805133849218636E-9</v>
      </c>
      <c r="G237" s="258">
        <f>((C237*(1-I137))-(D237*J137)+(E237*(1-K137)))*F137*G137</f>
        <v>5.2738060315516927E-10</v>
      </c>
      <c r="H237" s="261">
        <f t="shared" si="20"/>
        <v>0.94781499999999996</v>
      </c>
      <c r="I237" s="258">
        <f>G237*(1-H237)*(1-E137)</f>
        <v>2.4769221098087276E-11</v>
      </c>
      <c r="J237" s="261">
        <v>0</v>
      </c>
      <c r="K237" s="258">
        <f>G237*(1-J237)*(1-E137)</f>
        <v>4.7464254283965239E-10</v>
      </c>
    </row>
    <row r="238" spans="2:11" hidden="1" x14ac:dyDescent="0.25">
      <c r="B238" s="257">
        <v>99</v>
      </c>
      <c r="C238" s="258">
        <f t="shared" si="19"/>
        <v>3.7805133849218636E-9</v>
      </c>
      <c r="D238" s="258">
        <f t="shared" si="21"/>
        <v>0</v>
      </c>
      <c r="E238" s="258">
        <f>0</f>
        <v>0</v>
      </c>
      <c r="F238" s="258">
        <f>C238*I137+D238*J137+E238*K137</f>
        <v>3.1263300746562733E-9</v>
      </c>
      <c r="G238" s="258">
        <f>((C238*(1-I137))-(D238*J137)+(E238*(1-K137)))*F137*G137</f>
        <v>4.3612220684372679E-10</v>
      </c>
      <c r="H238" s="261">
        <f t="shared" si="20"/>
        <v>0.94781499999999996</v>
      </c>
      <c r="I238" s="258">
        <f>G238*(1-H238)*(1-E137)</f>
        <v>2.0483133627725911E-11</v>
      </c>
      <c r="J238" s="261">
        <v>0</v>
      </c>
      <c r="K238" s="258">
        <f>G238*(1-J238)*(1-E137)</f>
        <v>3.9250998615935412E-10</v>
      </c>
    </row>
    <row r="239" spans="2:11" x14ac:dyDescent="0.25">
      <c r="B239" s="262">
        <v>100</v>
      </c>
      <c r="C239" s="263">
        <f t="shared" si="19"/>
        <v>3.1263300746562733E-9</v>
      </c>
      <c r="D239" s="263">
        <f t="shared" si="21"/>
        <v>0</v>
      </c>
      <c r="E239" s="263">
        <f>0</f>
        <v>0</v>
      </c>
      <c r="F239" s="263">
        <f>C239*I137+D239*J137+E239*K137</f>
        <v>2.585347210958839E-9</v>
      </c>
      <c r="G239" s="258">
        <f>((C239*(1-I137))-(D239*J137)+(E239*(1-K137)))*F137*G137</f>
        <v>3.6065524246495621E-10</v>
      </c>
      <c r="H239" s="261">
        <f t="shared" si="20"/>
        <v>0.94781499999999996</v>
      </c>
      <c r="I239" s="263">
        <f>G239*(1-H239)*(1-E137)</f>
        <v>1.6938714445230378E-11</v>
      </c>
      <c r="J239" s="261">
        <v>0</v>
      </c>
      <c r="K239" s="258">
        <f>G239*(1-J239)*(1-E137)</f>
        <v>3.2458971821846059E-10</v>
      </c>
    </row>
    <row r="240" spans="2:11" x14ac:dyDescent="0.25">
      <c r="B240" s="463" t="s">
        <v>148</v>
      </c>
      <c r="C240" s="463"/>
      <c r="D240" s="463"/>
      <c r="E240" s="463"/>
      <c r="F240" s="463"/>
      <c r="G240" s="265">
        <f>SUM(G140:G239)</f>
        <v>0.25401172547643514</v>
      </c>
      <c r="H240" s="266"/>
      <c r="I240" s="268">
        <f>SUM(I140:I239)</f>
        <v>8.6844018965892625E-2</v>
      </c>
      <c r="J240" s="266"/>
      <c r="K240" s="265">
        <f>SUM(K140:K239)</f>
        <v>9.2237297370007978E-2</v>
      </c>
    </row>
    <row r="241" spans="2:11" ht="50.1" customHeight="1" x14ac:dyDescent="0.25"/>
    <row r="242" spans="2:11" ht="18.75" x14ac:dyDescent="0.25">
      <c r="B242" s="456" t="s">
        <v>150</v>
      </c>
      <c r="C242" s="457"/>
      <c r="D242" s="457"/>
      <c r="E242" s="457"/>
      <c r="F242" s="457"/>
      <c r="G242" s="457"/>
      <c r="H242" s="457"/>
      <c r="I242" s="457"/>
      <c r="J242" s="457"/>
      <c r="K242" s="458"/>
    </row>
    <row r="243" spans="2:11" ht="30" x14ac:dyDescent="0.25">
      <c r="B243" s="205"/>
      <c r="C243" s="205" t="s">
        <v>224</v>
      </c>
      <c r="D243" s="205" t="s">
        <v>136</v>
      </c>
      <c r="E243" s="205" t="s">
        <v>137</v>
      </c>
      <c r="F243" s="205" t="s">
        <v>324</v>
      </c>
      <c r="G243" s="205" t="s">
        <v>325</v>
      </c>
      <c r="H243" s="205" t="s">
        <v>138</v>
      </c>
      <c r="I243" s="205" t="s">
        <v>139</v>
      </c>
      <c r="J243" s="205" t="s">
        <v>140</v>
      </c>
      <c r="K243" s="205" t="s">
        <v>141</v>
      </c>
    </row>
    <row r="244" spans="2:11" x14ac:dyDescent="0.25">
      <c r="B244" s="206"/>
      <c r="C244" s="252">
        <f>SUMPRODUCT(AvoidedEmissions!I7:I17,AvoidedEmissions!D7:D17)/SUM(AvoidedEmissions!D7:D17)</f>
        <v>0.14025293043685866</v>
      </c>
      <c r="D244" s="253">
        <f>SUMPRODUCT(AvoidedEmissions!G7:G17,AvoidedEmissions!D7:D17)/SUM(AvoidedEmissions!D7:D17)</f>
        <v>0.10003547206579151</v>
      </c>
      <c r="E244" s="254">
        <v>0.1</v>
      </c>
      <c r="F244" s="254">
        <v>0.5</v>
      </c>
      <c r="G244" s="255">
        <f>Background!E13/Background!E12</f>
        <v>1.3333333333333333</v>
      </c>
      <c r="H244" s="256">
        <v>6</v>
      </c>
      <c r="I244" s="255">
        <f>EXP(-D244)</f>
        <v>0.90480532215279341</v>
      </c>
      <c r="J244" s="255">
        <f>((1/D244)*(EXP(-(D244*(1-H244/12)))-EXP(-D244))-((H244/12)*EXP(-D244)))</f>
        <v>1.1505095870527005E-2</v>
      </c>
      <c r="K244" s="255">
        <f>((1/D244)*(1-EXP(-(D244*(1-H244/12))))+(H244/12))</f>
        <v>0.98770146607547349</v>
      </c>
    </row>
    <row r="245" spans="2:11" x14ac:dyDescent="0.25">
      <c r="B245" s="464" t="s">
        <v>142</v>
      </c>
      <c r="C245" s="465"/>
      <c r="D245" s="465"/>
      <c r="E245" s="465"/>
      <c r="F245" s="465"/>
      <c r="G245" s="466"/>
      <c r="H245" s="464" t="s">
        <v>126</v>
      </c>
      <c r="I245" s="466"/>
      <c r="J245" s="464" t="s">
        <v>127</v>
      </c>
      <c r="K245" s="466"/>
    </row>
    <row r="246" spans="2:11" x14ac:dyDescent="0.25">
      <c r="B246" s="205" t="s">
        <v>125</v>
      </c>
      <c r="C246" s="205" t="s">
        <v>143</v>
      </c>
      <c r="D246" s="205" t="s">
        <v>144</v>
      </c>
      <c r="E246" s="205" t="s">
        <v>145</v>
      </c>
      <c r="F246" s="205" t="s">
        <v>146</v>
      </c>
      <c r="G246" s="205" t="s">
        <v>225</v>
      </c>
      <c r="H246" s="205" t="s">
        <v>147</v>
      </c>
      <c r="I246" s="251" t="s">
        <v>226</v>
      </c>
      <c r="J246" s="205" t="s">
        <v>147</v>
      </c>
      <c r="K246" s="205" t="s">
        <v>226</v>
      </c>
    </row>
    <row r="247" spans="2:11" x14ac:dyDescent="0.25">
      <c r="B247" s="257">
        <v>1</v>
      </c>
      <c r="C247" s="258">
        <v>0</v>
      </c>
      <c r="D247" s="258">
        <v>0</v>
      </c>
      <c r="E247" s="258">
        <f>C244</f>
        <v>0.14025293043685866</v>
      </c>
      <c r="F247" s="258">
        <f>C247*I244+D247*J244+E247*K244</f>
        <v>0.13852802501386668</v>
      </c>
      <c r="G247" s="258">
        <f>((C247*(1-I244))-(D247*J244)+(E247*(1-K244)))*F244*G244</f>
        <v>1.1499369486613086E-3</v>
      </c>
      <c r="H247" s="259">
        <v>0</v>
      </c>
      <c r="I247" s="260">
        <f>G247*(1-H247)*(1-E244)</f>
        <v>1.0349432537951778E-3</v>
      </c>
      <c r="J247" s="261">
        <v>0</v>
      </c>
      <c r="K247" s="258">
        <f>G247*(1-J247)*(1-E244)</f>
        <v>1.0349432537951778E-3</v>
      </c>
    </row>
    <row r="248" spans="2:11" x14ac:dyDescent="0.25">
      <c r="B248" s="257">
        <v>2</v>
      </c>
      <c r="C248" s="258">
        <f t="shared" ref="C248:C311" si="22">F247</f>
        <v>0.13852802501386668</v>
      </c>
      <c r="D248" s="258">
        <f t="shared" ref="D248:D264" si="23">E247</f>
        <v>0.14025293043685866</v>
      </c>
      <c r="E248" s="258">
        <f>0</f>
        <v>0</v>
      </c>
      <c r="F248" s="258">
        <f>C248*I244+D248*J244+E248*K244</f>
        <v>0.12695451771066027</v>
      </c>
      <c r="G248" s="258">
        <f>((C248*(1-I244))-(D248*J244)+(E248*(1-K244)))*F244*G244</f>
        <v>7.7156715354709336E-3</v>
      </c>
      <c r="H248" s="261">
        <v>0</v>
      </c>
      <c r="I248" s="258">
        <f>G248*(1-H248)*(1-E244)</f>
        <v>6.9441043819238402E-3</v>
      </c>
      <c r="J248" s="261">
        <v>0</v>
      </c>
      <c r="K248" s="258">
        <f>G248*(1-J248)*(1-E244)</f>
        <v>6.9441043819238402E-3</v>
      </c>
    </row>
    <row r="249" spans="2:11" x14ac:dyDescent="0.25">
      <c r="B249" s="257">
        <v>3</v>
      </c>
      <c r="C249" s="258">
        <f t="shared" si="22"/>
        <v>0.12695451771066027</v>
      </c>
      <c r="D249" s="258">
        <f t="shared" si="23"/>
        <v>0</v>
      </c>
      <c r="E249" s="258">
        <f>0</f>
        <v>0</v>
      </c>
      <c r="F249" s="258">
        <f>C249*I244+D249*J244+E249*K244</f>
        <v>0.11486912329594648</v>
      </c>
      <c r="G249" s="258">
        <f>((C249*(1-I244))-(D249*J244)+(E249*(1-K244)))*F244*G244</f>
        <v>8.0569296098091901E-3</v>
      </c>
      <c r="H249" s="261">
        <f>0.5*0.9977</f>
        <v>0.49885000000000002</v>
      </c>
      <c r="I249" s="258">
        <f>G249*(1-H249)*(1-E244)</f>
        <v>3.6339572465602875E-3</v>
      </c>
      <c r="J249" s="261">
        <f>0.5*0.9977</f>
        <v>0.49885000000000002</v>
      </c>
      <c r="K249" s="258">
        <f>G249*(1-J249)*(1-E244)</f>
        <v>3.6339572465602875E-3</v>
      </c>
    </row>
    <row r="250" spans="2:11" hidden="1" x14ac:dyDescent="0.25">
      <c r="B250" s="257">
        <v>4</v>
      </c>
      <c r="C250" s="258">
        <f t="shared" si="22"/>
        <v>0.11486912329594648</v>
      </c>
      <c r="D250" s="258">
        <f t="shared" si="23"/>
        <v>0</v>
      </c>
      <c r="E250" s="258">
        <f>0</f>
        <v>0</v>
      </c>
      <c r="F250" s="258">
        <f>C250*I244+D250*J244+E250*K244</f>
        <v>0.1039341941091978</v>
      </c>
      <c r="G250" s="258">
        <f>((C250*(1-I244))-(D250*J244)+(E250*(1-K244)))*F244*G244</f>
        <v>7.2899527911657854E-3</v>
      </c>
      <c r="H250" s="261">
        <f t="shared" ref="H250:H256" si="24">0.75*0.9977</f>
        <v>0.74827500000000002</v>
      </c>
      <c r="I250" s="258">
        <f>G250*(1-H250)*(1-E244)</f>
        <v>1.6515570297205866E-3</v>
      </c>
      <c r="J250" s="261">
        <f>0.7*0.9977</f>
        <v>0.69838999999999996</v>
      </c>
      <c r="K250" s="258">
        <f>G250*(1-J250)*(1-E244)</f>
        <v>1.9788503952091613E-3</v>
      </c>
    </row>
    <row r="251" spans="2:11" hidden="1" x14ac:dyDescent="0.25">
      <c r="B251" s="257">
        <v>5</v>
      </c>
      <c r="C251" s="258">
        <f t="shared" si="22"/>
        <v>0.1039341941091978</v>
      </c>
      <c r="D251" s="258">
        <f t="shared" si="23"/>
        <v>0</v>
      </c>
      <c r="E251" s="258">
        <f>0</f>
        <v>0</v>
      </c>
      <c r="F251" s="258">
        <f>C251*I244+D251*J244+E251*K244</f>
        <v>9.4040211983663677E-2</v>
      </c>
      <c r="G251" s="258">
        <f>((C251*(1-I244))-(D251*J244)+(E251*(1-K244)))*F244*G244</f>
        <v>6.5959880836894136E-3</v>
      </c>
      <c r="H251" s="261">
        <f t="shared" si="24"/>
        <v>0.74827500000000002</v>
      </c>
      <c r="I251" s="258">
        <f>G251*(1-H251)*(1-E244)</f>
        <v>1.4943375903300458E-3</v>
      </c>
      <c r="J251" s="261">
        <f>0.7*0.9977</f>
        <v>0.69838999999999996</v>
      </c>
      <c r="K251" s="258">
        <f>G251*(1-J251)*(1-E244)</f>
        <v>1.7904743693294082E-3</v>
      </c>
    </row>
    <row r="252" spans="2:11" hidden="1" x14ac:dyDescent="0.25">
      <c r="B252" s="257">
        <v>6</v>
      </c>
      <c r="C252" s="258">
        <f t="shared" si="22"/>
        <v>9.4040211983663677E-2</v>
      </c>
      <c r="D252" s="258">
        <f t="shared" si="23"/>
        <v>0</v>
      </c>
      <c r="E252" s="258">
        <f>0</f>
        <v>0</v>
      </c>
      <c r="F252" s="258">
        <f>C252*I244+D252*J244+E252*K244</f>
        <v>8.5088084299195801E-2</v>
      </c>
      <c r="G252" s="258">
        <f>((C252*(1-I244))-(D252*J244)+(E252*(1-K244)))*F244*G244</f>
        <v>5.9680851229785871E-3</v>
      </c>
      <c r="H252" s="261">
        <f t="shared" si="24"/>
        <v>0.74827500000000002</v>
      </c>
      <c r="I252" s="258">
        <f>G252*(1-H252)*(1-E244)</f>
        <v>1.3520846048236063E-3</v>
      </c>
      <c r="J252" s="261">
        <f t="shared" ref="J252:J306" si="25">0.8*0.9977</f>
        <v>0.79816000000000009</v>
      </c>
      <c r="K252" s="258">
        <f>G252*(1-J252)*(1-E244)</f>
        <v>1.0841384710997977E-3</v>
      </c>
    </row>
    <row r="253" spans="2:11" hidden="1" x14ac:dyDescent="0.25">
      <c r="B253" s="257">
        <v>7</v>
      </c>
      <c r="C253" s="258">
        <f t="shared" si="22"/>
        <v>8.5088084299195801E-2</v>
      </c>
      <c r="D253" s="258">
        <f t="shared" si="23"/>
        <v>0</v>
      </c>
      <c r="E253" s="258">
        <f>0</f>
        <v>0</v>
      </c>
      <c r="F253" s="258">
        <f>C253*I244+D253*J244+E253*K244</f>
        <v>7.6988151525697907E-2</v>
      </c>
      <c r="G253" s="258">
        <f>((C253*(1-I244))-(D253*J244)+(E253*(1-K244)))*F244*G244</f>
        <v>5.399955182331934E-3</v>
      </c>
      <c r="H253" s="261">
        <f t="shared" si="24"/>
        <v>0.74827500000000002</v>
      </c>
      <c r="I253" s="258">
        <f>G253*(1-H253)*(1-E244)</f>
        <v>1.2233733464452553E-3</v>
      </c>
      <c r="J253" s="261">
        <f t="shared" si="25"/>
        <v>0.79816000000000009</v>
      </c>
      <c r="K253" s="258">
        <f>G253*(1-J253)*(1-E244)</f>
        <v>9.8093425860168925E-4</v>
      </c>
    </row>
    <row r="254" spans="2:11" hidden="1" x14ac:dyDescent="0.25">
      <c r="B254" s="257">
        <v>8</v>
      </c>
      <c r="C254" s="258">
        <f t="shared" si="22"/>
        <v>7.6988151525697907E-2</v>
      </c>
      <c r="D254" s="258">
        <f t="shared" si="23"/>
        <v>0</v>
      </c>
      <c r="E254" s="258">
        <f>0</f>
        <v>0</v>
      </c>
      <c r="F254" s="258">
        <f>C254*I244+D254*J244+E254*K244</f>
        <v>6.9659289243157174E-2</v>
      </c>
      <c r="G254" s="258">
        <f>((C254*(1-I244))-(D254*J244)+(E254*(1-K244)))*F244*G244</f>
        <v>4.8859081883604917E-3</v>
      </c>
      <c r="H254" s="261">
        <f t="shared" si="24"/>
        <v>0.74827500000000002</v>
      </c>
      <c r="I254" s="258">
        <f>G254*(1-H254)*(1-E244)</f>
        <v>1.1069147148435401E-3</v>
      </c>
      <c r="J254" s="261">
        <f t="shared" si="25"/>
        <v>0.79816000000000009</v>
      </c>
      <c r="K254" s="258">
        <f>G254*(1-J254)*(1-E244)</f>
        <v>8.8755453786481305E-4</v>
      </c>
    </row>
    <row r="255" spans="2:11" hidden="1" x14ac:dyDescent="0.25">
      <c r="B255" s="257">
        <v>9</v>
      </c>
      <c r="C255" s="258">
        <f t="shared" si="22"/>
        <v>6.9659289243157174E-2</v>
      </c>
      <c r="D255" s="258">
        <f t="shared" si="23"/>
        <v>0</v>
      </c>
      <c r="E255" s="258">
        <f>0</f>
        <v>0</v>
      </c>
      <c r="F255" s="258">
        <f>C255*I244+D255*J244+E255*K244</f>
        <v>6.3028095644589444E-2</v>
      </c>
      <c r="G255" s="258">
        <f>((C255*(1-I244))-(D255*J244)+(E255*(1-K244)))*F244*G244</f>
        <v>4.4207957323784868E-3</v>
      </c>
      <c r="H255" s="261">
        <f t="shared" si="24"/>
        <v>0.74827500000000002</v>
      </c>
      <c r="I255" s="258">
        <f>G255*(1-H255)*(1-E244)</f>
        <v>1.0015423251596772E-3</v>
      </c>
      <c r="J255" s="261">
        <f t="shared" si="25"/>
        <v>0.79816000000000009</v>
      </c>
      <c r="K255" s="258">
        <f>G255*(1-J255)*(1-E244)</f>
        <v>8.0306406956094612E-4</v>
      </c>
    </row>
    <row r="256" spans="2:11" hidden="1" x14ac:dyDescent="0.25">
      <c r="B256" s="257">
        <v>10</v>
      </c>
      <c r="C256" s="258">
        <f t="shared" si="22"/>
        <v>6.3028095644589444E-2</v>
      </c>
      <c r="D256" s="258">
        <f t="shared" si="23"/>
        <v>0</v>
      </c>
      <c r="E256" s="258">
        <f>0</f>
        <v>0</v>
      </c>
      <c r="F256" s="258">
        <f>C256*I244+D256*J244+E256*K244</f>
        <v>5.702815638437983E-2</v>
      </c>
      <c r="G256" s="258">
        <f>((C256*(1-I244))-(D256*J244)+(E256*(1-K244)))*F244*G244</f>
        <v>3.9999595068064111E-3</v>
      </c>
      <c r="H256" s="261">
        <f t="shared" si="24"/>
        <v>0.74827500000000002</v>
      </c>
      <c r="I256" s="258">
        <f>G256*(1-H256)*(1-E244)</f>
        <v>9.062008261657593E-4</v>
      </c>
      <c r="J256" s="261">
        <f t="shared" si="25"/>
        <v>0.79816000000000009</v>
      </c>
      <c r="K256" s="258">
        <f>G256*(1-J256)*(1-E244)</f>
        <v>7.2661664416842511E-4</v>
      </c>
    </row>
    <row r="257" spans="2:11" hidden="1" x14ac:dyDescent="0.25">
      <c r="B257" s="257">
        <v>11</v>
      </c>
      <c r="C257" s="258">
        <f t="shared" si="22"/>
        <v>5.702815638437983E-2</v>
      </c>
      <c r="D257" s="258">
        <f t="shared" si="23"/>
        <v>0</v>
      </c>
      <c r="E257" s="258">
        <f>0</f>
        <v>0</v>
      </c>
      <c r="F257" s="258">
        <f>C257*I244+D257*J244+E257*K244</f>
        <v>5.1599379409148674E-2</v>
      </c>
      <c r="G257" s="258">
        <f>((C257*(1-I244))-(D257*J244)+(E257*(1-K244)))*F244*G244</f>
        <v>3.6191846501541038E-3</v>
      </c>
      <c r="H257" s="261">
        <f t="shared" ref="H257:H320" si="26">0.95*0.9977</f>
        <v>0.94781499999999996</v>
      </c>
      <c r="I257" s="258">
        <f>G257*(1-H257)*(1-E244)</f>
        <v>1.6998043587146283E-4</v>
      </c>
      <c r="J257" s="261">
        <f t="shared" si="25"/>
        <v>0.79816000000000009</v>
      </c>
      <c r="K257" s="258">
        <f>G257*(1-J257)*(1-E244)</f>
        <v>6.5744660680839369E-4</v>
      </c>
    </row>
    <row r="258" spans="2:11" hidden="1" x14ac:dyDescent="0.25">
      <c r="B258" s="257">
        <v>12</v>
      </c>
      <c r="C258" s="258">
        <f t="shared" si="22"/>
        <v>5.1599379409148674E-2</v>
      </c>
      <c r="D258" s="258">
        <f t="shared" si="23"/>
        <v>0</v>
      </c>
      <c r="E258" s="258">
        <f>0</f>
        <v>0</v>
      </c>
      <c r="F258" s="258">
        <f>C258*I244+D258*J244+E258*K244</f>
        <v>4.6687393109178979E-2</v>
      </c>
      <c r="G258" s="258">
        <f>((C258*(1-I244))-(D258*J244)+(E258*(1-K244)))*F244*G244</f>
        <v>3.2746575333131287E-3</v>
      </c>
      <c r="H258" s="261">
        <f t="shared" si="26"/>
        <v>0.94781499999999996</v>
      </c>
      <c r="I258" s="258">
        <f>G258*(1-H258)*(1-E244)</f>
        <v>1.5379920303835117E-4</v>
      </c>
      <c r="J258" s="261">
        <f t="shared" si="25"/>
        <v>0.79816000000000009</v>
      </c>
      <c r="K258" s="258">
        <f>G258*(1-J258)*(1-E244)</f>
        <v>5.9486118887152944E-4</v>
      </c>
    </row>
    <row r="259" spans="2:11" hidden="1" x14ac:dyDescent="0.25">
      <c r="B259" s="257">
        <v>13</v>
      </c>
      <c r="C259" s="258">
        <f t="shared" si="22"/>
        <v>4.6687393109178979E-2</v>
      </c>
      <c r="D259" s="258">
        <f t="shared" si="23"/>
        <v>0</v>
      </c>
      <c r="E259" s="258">
        <f>0</f>
        <v>0</v>
      </c>
      <c r="F259" s="258">
        <f>C259*I244+D259*J244+E259*K244</f>
        <v>4.2243001762624792E-2</v>
      </c>
      <c r="G259" s="258">
        <f>((C259*(1-I244))-(D259*J244)+(E259*(1-K244)))*F244*G244</f>
        <v>2.9629275643694567E-3</v>
      </c>
      <c r="H259" s="261">
        <f t="shared" si="26"/>
        <v>0.94781499999999996</v>
      </c>
      <c r="I259" s="258">
        <f>G259*(1-H259)*(1-E244)</f>
        <v>1.3915833745195818E-4</v>
      </c>
      <c r="J259" s="261">
        <f t="shared" si="25"/>
        <v>0.79816000000000009</v>
      </c>
      <c r="K259" s="258">
        <f>G259*(1-J259)*(1-E244)</f>
        <v>5.3823356963309779E-4</v>
      </c>
    </row>
    <row r="260" spans="2:11" hidden="1" x14ac:dyDescent="0.25">
      <c r="B260" s="257">
        <v>14</v>
      </c>
      <c r="C260" s="258">
        <f t="shared" si="22"/>
        <v>4.2243001762624792E-2</v>
      </c>
      <c r="D260" s="258">
        <f t="shared" si="23"/>
        <v>0</v>
      </c>
      <c r="E260" s="258">
        <f>0</f>
        <v>0</v>
      </c>
      <c r="F260" s="258">
        <f>C260*I244+D260*J244+E260*K244</f>
        <v>3.8221692818532743E-2</v>
      </c>
      <c r="G260" s="258">
        <f>((C260*(1-I244))-(D260*J244)+(E260*(1-K244)))*F244*G244</f>
        <v>2.6808726293946978E-3</v>
      </c>
      <c r="H260" s="261">
        <f t="shared" si="26"/>
        <v>0.94781499999999996</v>
      </c>
      <c r="I260" s="258">
        <f>G260*(1-H260)*(1-E244)</f>
        <v>1.2591120434846616E-4</v>
      </c>
      <c r="J260" s="261">
        <f t="shared" si="25"/>
        <v>0.79816000000000009</v>
      </c>
      <c r="K260" s="258">
        <f>G260*(1-J260)*(1-E244)</f>
        <v>4.8699659836532296E-4</v>
      </c>
    </row>
    <row r="261" spans="2:11" hidden="1" x14ac:dyDescent="0.25">
      <c r="B261" s="257">
        <v>15</v>
      </c>
      <c r="C261" s="258">
        <f t="shared" si="22"/>
        <v>3.8221692818532743E-2</v>
      </c>
      <c r="D261" s="258">
        <f t="shared" si="23"/>
        <v>0</v>
      </c>
      <c r="E261" s="258">
        <f>0</f>
        <v>0</v>
      </c>
      <c r="F261" s="258">
        <f>C261*I244+D261*J244+E261*K244</f>
        <v>3.4583191083897631E-2</v>
      </c>
      <c r="G261" s="258">
        <f>((C261*(1-I244))-(D261*J244)+(E261*(1-K244)))*F244*G244</f>
        <v>2.425667823090076E-3</v>
      </c>
      <c r="H261" s="261">
        <f t="shared" si="26"/>
        <v>0.94781499999999996</v>
      </c>
      <c r="I261" s="258">
        <f>G261*(1-H261)*(1-E244)</f>
        <v>1.1392512781316014E-4</v>
      </c>
      <c r="J261" s="261">
        <f t="shared" si="25"/>
        <v>0.79816000000000009</v>
      </c>
      <c r="K261" s="258">
        <f>G261*(1-J261)*(1-E244)</f>
        <v>4.4063711407125067E-4</v>
      </c>
    </row>
    <row r="262" spans="2:11" hidden="1" x14ac:dyDescent="0.25">
      <c r="B262" s="257">
        <v>16</v>
      </c>
      <c r="C262" s="258">
        <f t="shared" si="22"/>
        <v>3.4583191083897631E-2</v>
      </c>
      <c r="D262" s="258">
        <f t="shared" si="23"/>
        <v>0</v>
      </c>
      <c r="E262" s="258">
        <f>0</f>
        <v>0</v>
      </c>
      <c r="F262" s="258">
        <f>C262*I244+D262*J244+E262*K244</f>
        <v>3.1291055349737612E-2</v>
      </c>
      <c r="G262" s="258">
        <f>((C262*(1-I244))-(D262*J244)+(E262*(1-K244)))*F244*G244</f>
        <v>2.1947571561066813E-3</v>
      </c>
      <c r="H262" s="261">
        <f t="shared" si="26"/>
        <v>0.94781499999999996</v>
      </c>
      <c r="I262" s="258">
        <f>G262*(1-H262)*(1-E244)</f>
        <v>1.0308006197228452E-4</v>
      </c>
      <c r="J262" s="261">
        <f t="shared" si="25"/>
        <v>0.79816000000000009</v>
      </c>
      <c r="K262" s="258">
        <f>G262*(1-J262)*(1-E244)</f>
        <v>3.9869080594971511E-4</v>
      </c>
    </row>
    <row r="263" spans="2:11" hidden="1" x14ac:dyDescent="0.25">
      <c r="B263" s="257">
        <v>17</v>
      </c>
      <c r="C263" s="258">
        <f t="shared" si="22"/>
        <v>3.1291055349737612E-2</v>
      </c>
      <c r="D263" s="258">
        <f t="shared" si="23"/>
        <v>0</v>
      </c>
      <c r="E263" s="258">
        <f>0</f>
        <v>0</v>
      </c>
      <c r="F263" s="258">
        <f>C263*I244+D263*J244+E263*K244</f>
        <v>2.8312313416220231E-2</v>
      </c>
      <c r="G263" s="258">
        <f>((C263*(1-I244))-(D263*J244)+(E263*(1-K244)))*F244*G244</f>
        <v>1.9858279556782548E-3</v>
      </c>
      <c r="H263" s="261">
        <f t="shared" si="26"/>
        <v>0.94781499999999996</v>
      </c>
      <c r="I263" s="258">
        <f>G263*(1-H263)*(1-E244)</f>
        <v>9.3267388680362824E-5</v>
      </c>
      <c r="J263" s="261">
        <f t="shared" si="25"/>
        <v>0.79816000000000009</v>
      </c>
      <c r="K263" s="258">
        <f>G263*(1-J263)*(1-E244)</f>
        <v>3.6073756311668894E-4</v>
      </c>
    </row>
    <row r="264" spans="2:11" hidden="1" x14ac:dyDescent="0.25">
      <c r="B264" s="257">
        <v>18</v>
      </c>
      <c r="C264" s="258">
        <f t="shared" si="22"/>
        <v>2.8312313416220231E-2</v>
      </c>
      <c r="D264" s="258">
        <f t="shared" si="23"/>
        <v>0</v>
      </c>
      <c r="E264" s="258">
        <f>0</f>
        <v>0</v>
      </c>
      <c r="F264" s="258">
        <f>C264*I244+D264*J244+E264*K244</f>
        <v>2.5617131861454E-2</v>
      </c>
      <c r="G264" s="258">
        <f>((C264*(1-I244))-(D264*J244)+(E264*(1-K244)))*F244*G244</f>
        <v>1.7967877031774865E-3</v>
      </c>
      <c r="H264" s="261">
        <f t="shared" si="26"/>
        <v>0.94781499999999996</v>
      </c>
      <c r="I264" s="258">
        <f>G264*(1-H264)*(1-E244)</f>
        <v>8.438882966128548E-5</v>
      </c>
      <c r="J264" s="261">
        <f t="shared" si="25"/>
        <v>0.79816000000000009</v>
      </c>
      <c r="K264" s="258">
        <f>G264*(1-J264)*(1-E244)</f>
        <v>3.2639726700840939E-4</v>
      </c>
    </row>
    <row r="265" spans="2:11" hidden="1" x14ac:dyDescent="0.25">
      <c r="B265" s="257">
        <v>19</v>
      </c>
      <c r="C265" s="258">
        <f t="shared" si="22"/>
        <v>2.5617131861454E-2</v>
      </c>
      <c r="D265" s="258">
        <f>E264</f>
        <v>0</v>
      </c>
      <c r="E265" s="258">
        <f>0</f>
        <v>0</v>
      </c>
      <c r="F265" s="258">
        <f>C265*I244+D265*J244+E265*K244</f>
        <v>2.3178517246533473E-2</v>
      </c>
      <c r="G265" s="258">
        <f>((C265*(1-I244))-(D265*J244)+(E265*(1-K244)))*F244*G244</f>
        <v>1.6257430766136833E-3</v>
      </c>
      <c r="H265" s="261">
        <f t="shared" si="26"/>
        <v>0.94781499999999996</v>
      </c>
      <c r="I265" s="258">
        <f>G265*(1-H265)*(1-E244)</f>
        <v>7.6355462207776606E-5</v>
      </c>
      <c r="J265" s="261">
        <f t="shared" si="25"/>
        <v>0.79816000000000009</v>
      </c>
      <c r="K265" s="258">
        <f>G265*(1-J265)*(1-E244)</f>
        <v>2.9532598432533509E-4</v>
      </c>
    </row>
    <row r="266" spans="2:11" hidden="1" x14ac:dyDescent="0.25">
      <c r="B266" s="257">
        <v>20</v>
      </c>
      <c r="C266" s="258">
        <f t="shared" si="22"/>
        <v>2.3178517246533473E-2</v>
      </c>
      <c r="D266" s="258">
        <f t="shared" ref="D266:D329" si="27">E265</f>
        <v>0</v>
      </c>
      <c r="E266" s="258">
        <f>0</f>
        <v>0</v>
      </c>
      <c r="F266" s="258">
        <f>C266*I244+D266*J244+E266*K244</f>
        <v>2.0972045764273799E-2</v>
      </c>
      <c r="G266" s="258">
        <f>((C266*(1-I244))-(D266*J244)+(E266*(1-K244)))*F244*G244</f>
        <v>1.4709809881731173E-3</v>
      </c>
      <c r="H266" s="261">
        <f t="shared" si="26"/>
        <v>0.94781499999999996</v>
      </c>
      <c r="I266" s="258">
        <f>G266*(1-H266)*(1-E244)</f>
        <v>6.9086828581032774E-5</v>
      </c>
      <c r="J266" s="261">
        <f t="shared" si="25"/>
        <v>0.79816000000000009</v>
      </c>
      <c r="K266" s="258">
        <f>G266*(1-J266)*(1-E244)</f>
        <v>2.672125223875757E-4</v>
      </c>
    </row>
    <row r="267" spans="2:11" hidden="1" x14ac:dyDescent="0.25">
      <c r="B267" s="257">
        <v>21</v>
      </c>
      <c r="C267" s="258">
        <f t="shared" si="22"/>
        <v>2.0972045764273799E-2</v>
      </c>
      <c r="D267" s="258">
        <f t="shared" si="27"/>
        <v>0</v>
      </c>
      <c r="E267" s="258">
        <f>0</f>
        <v>0</v>
      </c>
      <c r="F267" s="258">
        <f>C267*I244+D267*J244+E267*K244</f>
        <v>1.897561862394688E-2</v>
      </c>
      <c r="G267" s="258">
        <f>((C267*(1-I244))-(D267*J244)+(E267*(1-K244)))*F244*G244</f>
        <v>1.3309514268846118E-3</v>
      </c>
      <c r="H267" s="261">
        <f t="shared" si="26"/>
        <v>0.94781499999999996</v>
      </c>
      <c r="I267" s="258">
        <f>G267*(1-H267)*(1-E244)</f>
        <v>6.2510130190776165E-5</v>
      </c>
      <c r="J267" s="261">
        <f t="shared" si="25"/>
        <v>0.79816000000000009</v>
      </c>
      <c r="K267" s="258">
        <f>G267*(1-J267)*(1-E244)</f>
        <v>2.4177531240215095E-4</v>
      </c>
    </row>
    <row r="268" spans="2:11" hidden="1" x14ac:dyDescent="0.25">
      <c r="B268" s="257">
        <v>22</v>
      </c>
      <c r="C268" s="258">
        <f t="shared" si="22"/>
        <v>1.897561862394688E-2</v>
      </c>
      <c r="D268" s="258">
        <f t="shared" si="27"/>
        <v>0</v>
      </c>
      <c r="E268" s="258">
        <f>0</f>
        <v>0</v>
      </c>
      <c r="F268" s="258">
        <f>C268*I244+D268*J244+E268*K244</f>
        <v>1.7169240722088804E-2</v>
      </c>
      <c r="G268" s="258">
        <f>((C268*(1-I244))-(D268*J244)+(E268*(1-K244)))*F244*G244</f>
        <v>1.2042519345720512E-3</v>
      </c>
      <c r="H268" s="261">
        <f t="shared" si="26"/>
        <v>0.94781499999999996</v>
      </c>
      <c r="I268" s="258">
        <f>G268*(1-H268)*(1-E244)</f>
        <v>5.6559498485078287E-5</v>
      </c>
      <c r="J268" s="261">
        <f t="shared" si="25"/>
        <v>0.79816000000000009</v>
      </c>
      <c r="K268" s="258">
        <f>G268*(1-J268)*(1-E244)</f>
        <v>2.1875958942662045E-4</v>
      </c>
    </row>
    <row r="269" spans="2:11" hidden="1" x14ac:dyDescent="0.25">
      <c r="B269" s="257">
        <v>23</v>
      </c>
      <c r="C269" s="258">
        <f t="shared" si="22"/>
        <v>1.7169240722088804E-2</v>
      </c>
      <c r="D269" s="258">
        <f t="shared" si="27"/>
        <v>0</v>
      </c>
      <c r="E269" s="258">
        <f>0</f>
        <v>0</v>
      </c>
      <c r="F269" s="258">
        <f>C269*I244+D269*J244+E269*K244</f>
        <v>1.5534820382668419E-2</v>
      </c>
      <c r="G269" s="258">
        <f>((C269*(1-I244))-(D269*J244)+(E269*(1-K244)))*F244*G244</f>
        <v>1.0896135596135895E-3</v>
      </c>
      <c r="H269" s="261">
        <f t="shared" si="26"/>
        <v>0.94781499999999996</v>
      </c>
      <c r="I269" s="258">
        <f>G269*(1-H269)*(1-E244)</f>
        <v>5.1175335247591688E-5</v>
      </c>
      <c r="J269" s="261">
        <f t="shared" si="25"/>
        <v>0.79816000000000009</v>
      </c>
      <c r="K269" s="258">
        <f>G269*(1-J269)*(1-E244)</f>
        <v>1.9793484078516613E-4</v>
      </c>
    </row>
    <row r="270" spans="2:11" hidden="1" x14ac:dyDescent="0.25">
      <c r="B270" s="257">
        <v>24</v>
      </c>
      <c r="C270" s="258">
        <f t="shared" si="22"/>
        <v>1.5534820382668419E-2</v>
      </c>
      <c r="D270" s="258">
        <f t="shared" si="27"/>
        <v>0</v>
      </c>
      <c r="E270" s="258">
        <f>0</f>
        <v>0</v>
      </c>
      <c r="F270" s="258">
        <f>C270*I244+D270*J244+E270*K244</f>
        <v>1.405598816092608E-2</v>
      </c>
      <c r="G270" s="258">
        <f>((C270*(1-I244))-(D270*J244)+(E270*(1-K244)))*F244*G244</f>
        <v>9.8588814782822566E-4</v>
      </c>
      <c r="H270" s="261">
        <f t="shared" si="26"/>
        <v>0.94781499999999996</v>
      </c>
      <c r="I270" s="258">
        <f>G270*(1-H270)*(1-E244)</f>
        <v>4.6303715694974395E-5</v>
      </c>
      <c r="J270" s="261">
        <f t="shared" si="25"/>
        <v>0.79816000000000009</v>
      </c>
      <c r="K270" s="258">
        <f>G270*(1-J270)*(1-E244)</f>
        <v>1.7909249738188408E-4</v>
      </c>
    </row>
    <row r="271" spans="2:11" hidden="1" x14ac:dyDescent="0.25">
      <c r="B271" s="257">
        <v>25</v>
      </c>
      <c r="C271" s="258">
        <f t="shared" si="22"/>
        <v>1.405598816092608E-2</v>
      </c>
      <c r="D271" s="258">
        <f t="shared" si="27"/>
        <v>0</v>
      </c>
      <c r="E271" s="258">
        <f>0</f>
        <v>0</v>
      </c>
      <c r="F271" s="258">
        <f>C271*I244+D271*J244+E271*K244</f>
        <v>1.2717932896122571E-2</v>
      </c>
      <c r="G271" s="258">
        <f>((C271*(1-I244))-(D271*J244)+(E271*(1-K244)))*F244*G244</f>
        <v>8.9203684320233859E-4</v>
      </c>
      <c r="H271" s="261">
        <f t="shared" si="26"/>
        <v>0.94781499999999996</v>
      </c>
      <c r="I271" s="258">
        <f>G271*(1-H271)*(1-E244)</f>
        <v>4.1895848396262664E-5</v>
      </c>
      <c r="J271" s="261">
        <f t="shared" si="25"/>
        <v>0.79816000000000009</v>
      </c>
      <c r="K271" s="258">
        <f>G271*(1-J271)*(1-E244)</f>
        <v>1.6204384478876393E-4</v>
      </c>
    </row>
    <row r="272" spans="2:11" hidden="1" x14ac:dyDescent="0.25">
      <c r="B272" s="257">
        <v>26</v>
      </c>
      <c r="C272" s="258">
        <f t="shared" si="22"/>
        <v>1.2717932896122571E-2</v>
      </c>
      <c r="D272" s="258">
        <f t="shared" si="27"/>
        <v>0</v>
      </c>
      <c r="E272" s="258">
        <f>0</f>
        <v>0</v>
      </c>
      <c r="F272" s="258">
        <f>C272*I244+D272*J244+E272*K244</f>
        <v>1.1507253371193793E-2</v>
      </c>
      <c r="G272" s="258">
        <f>((C272*(1-I244))-(D272*J244)+(E272*(1-K244)))*F244*G244</f>
        <v>8.0711968328585283E-4</v>
      </c>
      <c r="H272" s="261">
        <f t="shared" si="26"/>
        <v>0.94781499999999996</v>
      </c>
      <c r="I272" s="258">
        <f>G272*(1-H272)*(1-E244)</f>
        <v>3.7907586605045037E-5</v>
      </c>
      <c r="J272" s="261">
        <f t="shared" si="25"/>
        <v>0.79816000000000009</v>
      </c>
      <c r="K272" s="258">
        <f>G272*(1-J272)*(1-E244)</f>
        <v>1.4661813318697482E-4</v>
      </c>
    </row>
    <row r="273" spans="2:11" hidden="1" x14ac:dyDescent="0.25">
      <c r="B273" s="257">
        <v>27</v>
      </c>
      <c r="C273" s="258">
        <f t="shared" si="22"/>
        <v>1.1507253371193793E-2</v>
      </c>
      <c r="D273" s="258">
        <f t="shared" si="27"/>
        <v>0</v>
      </c>
      <c r="E273" s="258">
        <f>0</f>
        <v>0</v>
      </c>
      <c r="F273" s="258">
        <f>C273*I244+D273*J244+E273*K244</f>
        <v>1.0411824093616818E-2</v>
      </c>
      <c r="G273" s="258">
        <f>((C273*(1-I244))-(D273*J244)+(E273*(1-K244)))*F244*G244</f>
        <v>7.3028618505131663E-4</v>
      </c>
      <c r="H273" s="261">
        <f t="shared" si="26"/>
        <v>0.94781499999999996</v>
      </c>
      <c r="I273" s="258">
        <f>G273*(1-H273)*(1-E244)</f>
        <v>3.4298986110212688E-5</v>
      </c>
      <c r="J273" s="261">
        <f t="shared" si="25"/>
        <v>0.79816000000000009</v>
      </c>
      <c r="K273" s="258">
        <f>G273*(1-J273)*(1-E244)</f>
        <v>1.3266086723168191E-4</v>
      </c>
    </row>
    <row r="274" spans="2:11" hidden="1" x14ac:dyDescent="0.25">
      <c r="B274" s="257">
        <v>28</v>
      </c>
      <c r="C274" s="258">
        <f t="shared" si="22"/>
        <v>1.0411824093616818E-2</v>
      </c>
      <c r="D274" s="258">
        <f t="shared" si="27"/>
        <v>0</v>
      </c>
      <c r="E274" s="258">
        <f>0</f>
        <v>0</v>
      </c>
      <c r="F274" s="258">
        <f>C274*I244+D274*J244+E274*K244</f>
        <v>9.4206738532231805E-3</v>
      </c>
      <c r="G274" s="258">
        <f>((C274*(1-I244))-(D274*J244)+(E274*(1-K244)))*F244*G244</f>
        <v>6.6076682692909109E-4</v>
      </c>
      <c r="H274" s="261">
        <f t="shared" si="26"/>
        <v>0.94781499999999996</v>
      </c>
      <c r="I274" s="258">
        <f>G274*(1-H274)*(1-E244)</f>
        <v>3.1033905176965181E-5</v>
      </c>
      <c r="J274" s="261">
        <f t="shared" si="25"/>
        <v>0.79816000000000009</v>
      </c>
      <c r="K274" s="258">
        <f>G274*(1-J274)*(1-E244)</f>
        <v>1.2003225871263093E-4</v>
      </c>
    </row>
    <row r="275" spans="2:11" hidden="1" x14ac:dyDescent="0.25">
      <c r="B275" s="257">
        <v>29</v>
      </c>
      <c r="C275" s="258">
        <f t="shared" si="22"/>
        <v>9.4206738532231805E-3</v>
      </c>
      <c r="D275" s="258">
        <f t="shared" si="27"/>
        <v>0</v>
      </c>
      <c r="E275" s="258">
        <f>0</f>
        <v>0</v>
      </c>
      <c r="F275" s="258">
        <f>C275*I244+D275*J244+E275*K244</f>
        <v>8.5238758406619968E-3</v>
      </c>
      <c r="G275" s="258">
        <f>((C275*(1-I244))-(D275*J244)+(E275*(1-K244)))*F244*G244</f>
        <v>5.9786534170745535E-4</v>
      </c>
      <c r="H275" s="261">
        <f t="shared" si="26"/>
        <v>0.94781499999999996</v>
      </c>
      <c r="I275" s="258">
        <f>G275*(1-H275)*(1-E244)</f>
        <v>2.8079642571303221E-5</v>
      </c>
      <c r="J275" s="261">
        <f t="shared" si="25"/>
        <v>0.79816000000000009</v>
      </c>
      <c r="K275" s="258">
        <f>G275*(1-J275)*(1-E244)</f>
        <v>1.0860582651320946E-4</v>
      </c>
    </row>
    <row r="276" spans="2:11" hidden="1" x14ac:dyDescent="0.25">
      <c r="B276" s="257">
        <v>30</v>
      </c>
      <c r="C276" s="258">
        <f t="shared" si="22"/>
        <v>8.5238758406619968E-3</v>
      </c>
      <c r="D276" s="258">
        <f t="shared" si="27"/>
        <v>0</v>
      </c>
      <c r="E276" s="258">
        <f>0</f>
        <v>0</v>
      </c>
      <c r="F276" s="258">
        <f>C276*I244+D276*J244+E276*K244</f>
        <v>7.7124482260005909E-3</v>
      </c>
      <c r="G276" s="258">
        <f>((C276*(1-I244))-(D276*J244)+(E276*(1-K244)))*F244*G244</f>
        <v>5.4095174310760401E-4</v>
      </c>
      <c r="H276" s="261">
        <f t="shared" si="26"/>
        <v>0.94781499999999996</v>
      </c>
      <c r="I276" s="258">
        <f>G276*(1-H276)*(1-E244)</f>
        <v>2.5406610042663304E-5</v>
      </c>
      <c r="J276" s="261">
        <f t="shared" si="25"/>
        <v>0.79816000000000009</v>
      </c>
      <c r="K276" s="258">
        <f>G276*(1-J276)*(1-E244)</f>
        <v>9.826712984595487E-5</v>
      </c>
    </row>
    <row r="277" spans="2:11" hidden="1" x14ac:dyDescent="0.25">
      <c r="B277" s="257">
        <v>31</v>
      </c>
      <c r="C277" s="258">
        <f t="shared" si="22"/>
        <v>7.7124482260005909E-3</v>
      </c>
      <c r="D277" s="258">
        <f t="shared" si="27"/>
        <v>0</v>
      </c>
      <c r="E277" s="258">
        <f>0</f>
        <v>0</v>
      </c>
      <c r="F277" s="258">
        <f>C277*I244+D277*J244+E277*K244</f>
        <v>6.9782642017132048E-3</v>
      </c>
      <c r="G277" s="258">
        <f>((C277*(1-I244))-(D277*J244)+(E277*(1-K244)))*F244*G244</f>
        <v>4.894560161915907E-4</v>
      </c>
      <c r="H277" s="261">
        <f t="shared" si="26"/>
        <v>0.94781499999999996</v>
      </c>
      <c r="I277" s="258">
        <f>G277*(1-H277)*(1-E244)</f>
        <v>2.2988035984462362E-5</v>
      </c>
      <c r="J277" s="261">
        <f t="shared" si="25"/>
        <v>0.79816000000000009</v>
      </c>
      <c r="K277" s="258">
        <f>G277*(1-J277)*(1-E244)</f>
        <v>8.8912622077299563E-5</v>
      </c>
    </row>
    <row r="278" spans="2:11" hidden="1" x14ac:dyDescent="0.25">
      <c r="B278" s="257">
        <v>32</v>
      </c>
      <c r="C278" s="258">
        <f t="shared" si="22"/>
        <v>6.9782642017132048E-3</v>
      </c>
      <c r="D278" s="258">
        <f t="shared" si="27"/>
        <v>0</v>
      </c>
      <c r="E278" s="258">
        <f>0</f>
        <v>0</v>
      </c>
      <c r="F278" s="258">
        <f>C278*I244+D278*J244+E278*K244</f>
        <v>6.3139705890984223E-3</v>
      </c>
      <c r="G278" s="258">
        <f>((C278*(1-I244))-(D278*J244)+(E278*(1-K244)))*F244*G244</f>
        <v>4.4286240840985512E-4</v>
      </c>
      <c r="H278" s="261">
        <f t="shared" si="26"/>
        <v>0.94781499999999996</v>
      </c>
      <c r="I278" s="258">
        <f>G278*(1-H278)*(1-E244)</f>
        <v>2.0799697304581476E-5</v>
      </c>
      <c r="J278" s="261">
        <f t="shared" si="25"/>
        <v>0.79816000000000009</v>
      </c>
      <c r="K278" s="258">
        <f>G278*(1-J278)*(1-E244)</f>
        <v>8.0448613662100613E-5</v>
      </c>
    </row>
    <row r="279" spans="2:11" hidden="1" x14ac:dyDescent="0.25">
      <c r="B279" s="257">
        <v>33</v>
      </c>
      <c r="C279" s="258">
        <f t="shared" si="22"/>
        <v>6.3139705890984223E-3</v>
      </c>
      <c r="D279" s="258">
        <f t="shared" si="27"/>
        <v>0</v>
      </c>
      <c r="E279" s="258">
        <f>0</f>
        <v>0</v>
      </c>
      <c r="F279" s="258">
        <f>C279*I244+D279*J244+E279*K244</f>
        <v>5.7129141929324612E-3</v>
      </c>
      <c r="G279" s="258">
        <f>((C279*(1-I244))-(D279*J244)+(E279*(1-K244)))*F244*G244</f>
        <v>4.0070426411064095E-4</v>
      </c>
      <c r="H279" s="261">
        <f t="shared" si="26"/>
        <v>0.94781499999999996</v>
      </c>
      <c r="I279" s="258">
        <f>G279*(1-H279)*(1-E244)</f>
        <v>1.8819676820352432E-5</v>
      </c>
      <c r="J279" s="261">
        <f t="shared" si="25"/>
        <v>0.79816000000000009</v>
      </c>
      <c r="K279" s="258">
        <f>G279*(1-J279)*(1-E244)</f>
        <v>7.2790333801282567E-5</v>
      </c>
    </row>
    <row r="280" spans="2:11" hidden="1" x14ac:dyDescent="0.25">
      <c r="B280" s="257">
        <v>34</v>
      </c>
      <c r="C280" s="258">
        <f t="shared" si="22"/>
        <v>5.7129141929324612E-3</v>
      </c>
      <c r="D280" s="258">
        <f t="shared" si="27"/>
        <v>0</v>
      </c>
      <c r="E280" s="258">
        <f>0</f>
        <v>0</v>
      </c>
      <c r="F280" s="258">
        <f>C280*I244+D280*J244+E280*K244</f>
        <v>5.1690751667675212E-3</v>
      </c>
      <c r="G280" s="258">
        <f>((C280*(1-I244))-(D280*J244)+(E280*(1-K244)))*F244*G244</f>
        <v>3.6255935077662653E-4</v>
      </c>
      <c r="H280" s="261">
        <f t="shared" si="26"/>
        <v>0.94781499999999996</v>
      </c>
      <c r="I280" s="258">
        <f>G280*(1-H280)*(1-E244)</f>
        <v>1.7028143748250442E-5</v>
      </c>
      <c r="J280" s="261">
        <f t="shared" si="25"/>
        <v>0.79816000000000009</v>
      </c>
      <c r="K280" s="258">
        <f>G280*(1-J280)*(1-E244)</f>
        <v>6.5861081424678833E-5</v>
      </c>
    </row>
    <row r="281" spans="2:11" hidden="1" x14ac:dyDescent="0.25">
      <c r="B281" s="257">
        <v>35</v>
      </c>
      <c r="C281" s="258">
        <f t="shared" si="22"/>
        <v>5.1690751667675212E-3</v>
      </c>
      <c r="D281" s="258">
        <f t="shared" si="27"/>
        <v>0</v>
      </c>
      <c r="E281" s="258">
        <f>0</f>
        <v>0</v>
      </c>
      <c r="F281" s="258">
        <f>C281*I244+D281*J244+E281*K244</f>
        <v>4.6770067214990914E-3</v>
      </c>
      <c r="G281" s="258">
        <f>((C281*(1-I244))-(D281*J244)+(E281*(1-K244)))*F244*G244</f>
        <v>3.2804563017895324E-4</v>
      </c>
      <c r="H281" s="261">
        <f t="shared" si="26"/>
        <v>0.94781499999999996</v>
      </c>
      <c r="I281" s="258">
        <f>G281*(1-H281)*(1-E244)</f>
        <v>1.5407155089799818E-5</v>
      </c>
      <c r="J281" s="261">
        <f t="shared" si="25"/>
        <v>0.79816000000000009</v>
      </c>
      <c r="K281" s="258">
        <f>G281*(1-J281)*(1-E244)</f>
        <v>5.9591456995787911E-5</v>
      </c>
    </row>
    <row r="282" spans="2:11" hidden="1" x14ac:dyDescent="0.25">
      <c r="B282" s="257">
        <v>36</v>
      </c>
      <c r="C282" s="258">
        <f t="shared" si="22"/>
        <v>4.6770067214990914E-3</v>
      </c>
      <c r="D282" s="258">
        <f t="shared" si="27"/>
        <v>0</v>
      </c>
      <c r="E282" s="258">
        <f>0</f>
        <v>0</v>
      </c>
      <c r="F282" s="258">
        <f>C282*I244+D282*J244+E282*K244</f>
        <v>4.2317805733567658E-3</v>
      </c>
      <c r="G282" s="258">
        <f>((C282*(1-I244))-(D282*J244)+(E282*(1-K244)))*F244*G244</f>
        <v>2.9681743209488391E-4</v>
      </c>
      <c r="H282" s="261">
        <f t="shared" si="26"/>
        <v>0.94781499999999996</v>
      </c>
      <c r="I282" s="258">
        <f>G282*(1-H282)*(1-E244)</f>
        <v>1.3940475924484376E-5</v>
      </c>
      <c r="J282" s="261">
        <f t="shared" si="25"/>
        <v>0.79816000000000009</v>
      </c>
      <c r="K282" s="258">
        <f>G282*(1-J282)*(1-E244)</f>
        <v>5.3918667444628206E-5</v>
      </c>
    </row>
    <row r="283" spans="2:11" hidden="1" x14ac:dyDescent="0.25">
      <c r="B283" s="257">
        <v>37</v>
      </c>
      <c r="C283" s="258">
        <f t="shared" si="22"/>
        <v>4.2317805733567658E-3</v>
      </c>
      <c r="D283" s="258">
        <f t="shared" si="27"/>
        <v>0</v>
      </c>
      <c r="E283" s="258">
        <f>0</f>
        <v>0</v>
      </c>
      <c r="F283" s="258">
        <f>C283*I244+D283*J244+E283*K244</f>
        <v>3.8289375849560013E-3</v>
      </c>
      <c r="G283" s="258">
        <f>((C283*(1-I244))-(D283*J244)+(E283*(1-K244)))*F244*G244</f>
        <v>2.6856199226717631E-4</v>
      </c>
      <c r="H283" s="261">
        <f t="shared" si="26"/>
        <v>0.94781499999999996</v>
      </c>
      <c r="I283" s="258">
        <f>G283*(1-H283)*(1-E244)</f>
        <v>1.2613416809816345E-5</v>
      </c>
      <c r="J283" s="261">
        <f t="shared" si="25"/>
        <v>0.79816000000000009</v>
      </c>
      <c r="K283" s="258">
        <f>G283*(1-J283)*(1-E244)</f>
        <v>4.8785897267286161E-5</v>
      </c>
    </row>
    <row r="284" spans="2:11" hidden="1" x14ac:dyDescent="0.25">
      <c r="B284" s="257">
        <v>38</v>
      </c>
      <c r="C284" s="258">
        <f t="shared" si="22"/>
        <v>3.8289375849560013E-3</v>
      </c>
      <c r="D284" s="258">
        <f t="shared" si="27"/>
        <v>0</v>
      </c>
      <c r="E284" s="258">
        <f>0</f>
        <v>0</v>
      </c>
      <c r="F284" s="258">
        <f>C284*I244+D284*J244+E284*K244</f>
        <v>3.4644431050590537E-3</v>
      </c>
      <c r="G284" s="258">
        <f>((C284*(1-I244))-(D284*J244)+(E284*(1-K244)))*F244*G244</f>
        <v>2.4299631993129848E-4</v>
      </c>
      <c r="H284" s="261">
        <f t="shared" si="26"/>
        <v>0.94781499999999996</v>
      </c>
      <c r="I284" s="258">
        <f>G284*(1-H284)*(1-E244)</f>
        <v>1.141268666005334E-5</v>
      </c>
      <c r="J284" s="261">
        <f t="shared" si="25"/>
        <v>0.79816000000000009</v>
      </c>
      <c r="K284" s="258">
        <f>G284*(1-J284)*(1-E244)</f>
        <v>4.4141739493439936E-5</v>
      </c>
    </row>
    <row r="285" spans="2:11" hidden="1" x14ac:dyDescent="0.25">
      <c r="B285" s="257">
        <v>39</v>
      </c>
      <c r="C285" s="258">
        <f t="shared" si="22"/>
        <v>3.4644431050590537E-3</v>
      </c>
      <c r="D285" s="258">
        <f t="shared" si="27"/>
        <v>0</v>
      </c>
      <c r="E285" s="258">
        <f>0</f>
        <v>0</v>
      </c>
      <c r="F285" s="258">
        <f>C285*I244+D285*J244+E285*K244</f>
        <v>3.134646559752981E-3</v>
      </c>
      <c r="G285" s="258">
        <f>((C285*(1-I244))-(D285*J244)+(E285*(1-K244)))*F244*G244</f>
        <v>2.1986436353738179E-4</v>
      </c>
      <c r="H285" s="261">
        <f t="shared" si="26"/>
        <v>0.94781499999999996</v>
      </c>
      <c r="I285" s="258">
        <f>G285*(1-H285)*(1-E244)</f>
        <v>1.0326259630078449E-5</v>
      </c>
      <c r="J285" s="261">
        <f t="shared" si="25"/>
        <v>0.79816000000000009</v>
      </c>
      <c r="K285" s="258">
        <f>G285*(1-J285)*(1-E244)</f>
        <v>3.9939680822746607E-5</v>
      </c>
    </row>
    <row r="286" spans="2:11" hidden="1" x14ac:dyDescent="0.25">
      <c r="B286" s="257">
        <v>40</v>
      </c>
      <c r="C286" s="258">
        <f t="shared" si="22"/>
        <v>3.134646559752981E-3</v>
      </c>
      <c r="D286" s="258">
        <f t="shared" si="27"/>
        <v>0</v>
      </c>
      <c r="E286" s="258">
        <f>0</f>
        <v>0</v>
      </c>
      <c r="F286" s="258">
        <f>C286*I244+D286*J244+E286*K244</f>
        <v>2.8362448903324414E-3</v>
      </c>
      <c r="G286" s="258">
        <f>((C286*(1-I244))-(D286*J244)+(E286*(1-K244)))*F244*G244</f>
        <v>1.9893444628035962E-4</v>
      </c>
      <c r="H286" s="261">
        <f t="shared" si="26"/>
        <v>0.94781499999999996</v>
      </c>
      <c r="I286" s="258">
        <f>G286*(1-H286)*(1-E244)</f>
        <v>9.3432546712265173E-6</v>
      </c>
      <c r="J286" s="261">
        <f t="shared" si="25"/>
        <v>0.79816000000000009</v>
      </c>
      <c r="K286" s="258">
        <f>G286*(1-J286)*(1-E244)</f>
        <v>3.6137635773504992E-5</v>
      </c>
    </row>
    <row r="287" spans="2:11" hidden="1" x14ac:dyDescent="0.25">
      <c r="B287" s="257">
        <v>41</v>
      </c>
      <c r="C287" s="258">
        <f t="shared" si="22"/>
        <v>2.8362448903324414E-3</v>
      </c>
      <c r="D287" s="258">
        <f t="shared" si="27"/>
        <v>0</v>
      </c>
      <c r="E287" s="258">
        <f>0</f>
        <v>0</v>
      </c>
      <c r="F287" s="258">
        <f>C287*I244+D287*J244+E287*K244</f>
        <v>2.5662494717014588E-3</v>
      </c>
      <c r="G287" s="258">
        <f>((C287*(1-I244))-(D287*J244)+(E287*(1-K244)))*F244*G244</f>
        <v>1.7999694575398836E-4</v>
      </c>
      <c r="H287" s="261">
        <f t="shared" si="26"/>
        <v>0.94781499999999996</v>
      </c>
      <c r="I287" s="258">
        <f>G287*(1-H287)*(1-E244)</f>
        <v>8.4538265527547021E-6</v>
      </c>
      <c r="J287" s="261">
        <f t="shared" si="25"/>
        <v>0.79816000000000009</v>
      </c>
      <c r="K287" s="258">
        <f>G287*(1-J287)*(1-E244)</f>
        <v>3.2697525177886492E-5</v>
      </c>
    </row>
    <row r="288" spans="2:11" hidden="1" x14ac:dyDescent="0.25">
      <c r="B288" s="257">
        <v>42</v>
      </c>
      <c r="C288" s="258">
        <f t="shared" si="22"/>
        <v>2.5662494717014588E-3</v>
      </c>
      <c r="D288" s="258">
        <f t="shared" si="27"/>
        <v>0</v>
      </c>
      <c r="E288" s="258">
        <f>0</f>
        <v>0</v>
      </c>
      <c r="F288" s="258">
        <f>C288*I244+D288*J244+E288*K244</f>
        <v>2.3219561799672742E-3</v>
      </c>
      <c r="G288" s="258">
        <f>((C288*(1-I244))-(D288*J244)+(E288*(1-K244)))*F244*G244</f>
        <v>1.6286219448945631E-4</v>
      </c>
      <c r="H288" s="261">
        <f t="shared" si="26"/>
        <v>0.94781499999999996</v>
      </c>
      <c r="I288" s="258">
        <f>G288*(1-H288)*(1-E244)</f>
        <v>7.6490672574890551E-6</v>
      </c>
      <c r="J288" s="261">
        <f t="shared" si="25"/>
        <v>0.79816000000000009</v>
      </c>
      <c r="K288" s="258">
        <f>G288*(1-J288)*(1-E244)</f>
        <v>2.9584894802176663E-5</v>
      </c>
    </row>
    <row r="289" spans="2:11" hidden="1" x14ac:dyDescent="0.25">
      <c r="B289" s="257">
        <v>43</v>
      </c>
      <c r="C289" s="258">
        <f t="shared" si="22"/>
        <v>2.3219561799672742E-3</v>
      </c>
      <c r="D289" s="258">
        <f t="shared" si="27"/>
        <v>0</v>
      </c>
      <c r="E289" s="258">
        <f>0</f>
        <v>0</v>
      </c>
      <c r="F289" s="258">
        <f>C289*I244+D289*J244+E289*K244</f>
        <v>2.1009183094399591E-3</v>
      </c>
      <c r="G289" s="258">
        <f>((C289*(1-I244))-(D289*J244)+(E289*(1-K244)))*F244*G244</f>
        <v>1.473585803515434E-4</v>
      </c>
      <c r="H289" s="261">
        <f t="shared" si="26"/>
        <v>0.94781499999999996</v>
      </c>
      <c r="I289" s="258">
        <f>G289*(1-H289)*(1-E244)</f>
        <v>6.9209167640807683E-6</v>
      </c>
      <c r="J289" s="261">
        <f t="shared" si="25"/>
        <v>0.79816000000000009</v>
      </c>
      <c r="K289" s="258">
        <f>G289*(1-J289)*(1-E244)</f>
        <v>2.6768570272339955E-5</v>
      </c>
    </row>
    <row r="290" spans="2:11" hidden="1" x14ac:dyDescent="0.25">
      <c r="B290" s="257">
        <v>44</v>
      </c>
      <c r="C290" s="258">
        <f t="shared" si="22"/>
        <v>2.1009183094399591E-3</v>
      </c>
      <c r="D290" s="258">
        <f t="shared" si="27"/>
        <v>0</v>
      </c>
      <c r="E290" s="258">
        <f>0</f>
        <v>0</v>
      </c>
      <c r="F290" s="258">
        <f>C290*I244+D290*J244+E290*K244</f>
        <v>1.9009220677895244E-3</v>
      </c>
      <c r="G290" s="258">
        <f>((C290*(1-I244))-(D290*J244)+(E290*(1-K244)))*F244*G244</f>
        <v>1.3333082776695651E-4</v>
      </c>
      <c r="H290" s="261">
        <f t="shared" si="26"/>
        <v>0.94781499999999996</v>
      </c>
      <c r="I290" s="258">
        <f>G290*(1-H290)*(1-E244)</f>
        <v>6.2620823223167672E-6</v>
      </c>
      <c r="J290" s="261">
        <f t="shared" si="25"/>
        <v>0.79816000000000009</v>
      </c>
      <c r="K290" s="258">
        <f>G290*(1-J290)*(1-E244)</f>
        <v>2.422034484883424E-5</v>
      </c>
    </row>
    <row r="291" spans="2:11" hidden="1" x14ac:dyDescent="0.25">
      <c r="B291" s="257">
        <v>45</v>
      </c>
      <c r="C291" s="258">
        <f t="shared" si="22"/>
        <v>1.9009220677895244E-3</v>
      </c>
      <c r="D291" s="258">
        <f t="shared" si="27"/>
        <v>0</v>
      </c>
      <c r="E291" s="258">
        <f>0</f>
        <v>0</v>
      </c>
      <c r="F291" s="258">
        <f>C291*I244+D291*J244+E291*K244</f>
        <v>1.7199644039336548E-3</v>
      </c>
      <c r="G291" s="258">
        <f>((C291*(1-I244))-(D291*J244)+(E291*(1-K244)))*F244*G244</f>
        <v>1.2063844257057972E-4</v>
      </c>
      <c r="H291" s="261">
        <f t="shared" si="26"/>
        <v>0.94781499999999996</v>
      </c>
      <c r="I291" s="258">
        <f>G291*(1-H291)*(1-E244)</f>
        <v>5.6659654129911369E-6</v>
      </c>
      <c r="J291" s="261">
        <f t="shared" si="25"/>
        <v>0.79816000000000009</v>
      </c>
      <c r="K291" s="258">
        <f>G291*(1-J291)*(1-E244)</f>
        <v>2.191469692360122E-5</v>
      </c>
    </row>
    <row r="292" spans="2:11" hidden="1" x14ac:dyDescent="0.25">
      <c r="B292" s="257">
        <v>46</v>
      </c>
      <c r="C292" s="258">
        <f t="shared" si="22"/>
        <v>1.7199644039336548E-3</v>
      </c>
      <c r="D292" s="258">
        <f t="shared" si="27"/>
        <v>0</v>
      </c>
      <c r="E292" s="258">
        <f>0</f>
        <v>0</v>
      </c>
      <c r="F292" s="258">
        <f>C292*I244+D292*J244+E292*K244</f>
        <v>1.5562329465925277E-3</v>
      </c>
      <c r="G292" s="258">
        <f>((C292*(1-I244))-(D292*J244)+(E292*(1-K244)))*F244*G244</f>
        <v>1.0915430489408464E-4</v>
      </c>
      <c r="H292" s="261">
        <f t="shared" si="26"/>
        <v>0.94781499999999996</v>
      </c>
      <c r="I292" s="258">
        <f>G292*(1-H292)*(1-E244)</f>
        <v>5.1265956608080297E-6</v>
      </c>
      <c r="J292" s="261">
        <f t="shared" si="25"/>
        <v>0.79816000000000009</v>
      </c>
      <c r="K292" s="258">
        <f>G292*(1-J292)*(1-E244)</f>
        <v>1.982853440983983E-5</v>
      </c>
    </row>
    <row r="293" spans="2:11" hidden="1" x14ac:dyDescent="0.25">
      <c r="B293" s="257">
        <v>47</v>
      </c>
      <c r="C293" s="258">
        <f t="shared" si="22"/>
        <v>1.5562329465925277E-3</v>
      </c>
      <c r="D293" s="258">
        <f t="shared" si="27"/>
        <v>0</v>
      </c>
      <c r="E293" s="258">
        <f>0</f>
        <v>0</v>
      </c>
      <c r="F293" s="258">
        <f>C293*I244+D293*J244+E293*K244</f>
        <v>1.408087852586443E-3</v>
      </c>
      <c r="G293" s="258">
        <f>((C293*(1-I244))-(D293*J244)+(E293*(1-K244)))*F244*G244</f>
        <v>9.8763396004056481E-5</v>
      </c>
      <c r="H293" s="261">
        <f t="shared" si="26"/>
        <v>0.94781499999999996</v>
      </c>
      <c r="I293" s="258">
        <f>G293*(1-H293)*(1-E244)</f>
        <v>4.638571038424522E-6</v>
      </c>
      <c r="J293" s="261">
        <f t="shared" si="25"/>
        <v>0.79816000000000009</v>
      </c>
      <c r="K293" s="258">
        <f>G293*(1-J293)*(1-E244)</f>
        <v>1.7940963464512874E-5</v>
      </c>
    </row>
    <row r="294" spans="2:11" hidden="1" x14ac:dyDescent="0.25">
      <c r="B294" s="257">
        <v>48</v>
      </c>
      <c r="C294" s="258">
        <f t="shared" si="22"/>
        <v>1.408087852586443E-3</v>
      </c>
      <c r="D294" s="258">
        <f t="shared" si="27"/>
        <v>0</v>
      </c>
      <c r="E294" s="258">
        <f>0</f>
        <v>0</v>
      </c>
      <c r="F294" s="258">
        <f>C294*I244+D294*J244+E294*K244</f>
        <v>1.2740453830789116E-3</v>
      </c>
      <c r="G294" s="258">
        <f>((C294*(1-I244))-(D294*J244)+(E294*(1-K244)))*F244*G244</f>
        <v>8.9361646338354244E-5</v>
      </c>
      <c r="H294" s="261">
        <f t="shared" si="26"/>
        <v>0.94781499999999996</v>
      </c>
      <c r="I294" s="258">
        <f>G294*(1-H294)*(1-E244)</f>
        <v>4.1970037627503184E-6</v>
      </c>
      <c r="J294" s="261">
        <f t="shared" si="25"/>
        <v>0.79816000000000009</v>
      </c>
      <c r="K294" s="258">
        <f>G294*(1-J294)*(1-E244)</f>
        <v>1.6233079227240073E-5</v>
      </c>
    </row>
    <row r="295" spans="2:11" hidden="1" x14ac:dyDescent="0.25">
      <c r="B295" s="257">
        <v>49</v>
      </c>
      <c r="C295" s="258">
        <f t="shared" si="22"/>
        <v>1.2740453830789116E-3</v>
      </c>
      <c r="D295" s="258">
        <f t="shared" si="27"/>
        <v>0</v>
      </c>
      <c r="E295" s="258">
        <f>0</f>
        <v>0</v>
      </c>
      <c r="F295" s="258">
        <f>C295*I244+D295*J244+E295*K244</f>
        <v>1.1527630432739938E-3</v>
      </c>
      <c r="G295" s="258">
        <f>((C295*(1-I244))-(D295*J244)+(E295*(1-K244)))*F244*G244</f>
        <v>8.0854893203278588E-5</v>
      </c>
      <c r="H295" s="261">
        <f t="shared" si="26"/>
        <v>0.94781499999999996</v>
      </c>
      <c r="I295" s="258">
        <f>G295*(1-H295)*(1-E244)</f>
        <v>3.7974713416317864E-6</v>
      </c>
      <c r="J295" s="261">
        <f t="shared" si="25"/>
        <v>0.79816000000000009</v>
      </c>
      <c r="K295" s="258">
        <f>G295*(1-J295)*(1-E244)</f>
        <v>1.468777647973477E-5</v>
      </c>
    </row>
    <row r="296" spans="2:11" hidden="1" x14ac:dyDescent="0.25">
      <c r="B296" s="257">
        <v>50</v>
      </c>
      <c r="C296" s="258">
        <f t="shared" si="22"/>
        <v>1.1527630432739938E-3</v>
      </c>
      <c r="D296" s="258">
        <f t="shared" si="27"/>
        <v>0</v>
      </c>
      <c r="E296" s="258">
        <f>0</f>
        <v>0</v>
      </c>
      <c r="F296" s="258">
        <f>C296*I244+D296*J244+E296*K244</f>
        <v>1.0430261367353605E-3</v>
      </c>
      <c r="G296" s="258">
        <f>((C296*(1-I244))-(D296*J244)+(E296*(1-K244)))*F244*G244</f>
        <v>7.3157937692422195E-5</v>
      </c>
      <c r="H296" s="261">
        <f t="shared" si="26"/>
        <v>0.94781499999999996</v>
      </c>
      <c r="I296" s="258">
        <f>G296*(1-H296)*(1-E244)</f>
        <v>3.4359722806311493E-6</v>
      </c>
      <c r="J296" s="261">
        <f t="shared" si="25"/>
        <v>0.79816000000000009</v>
      </c>
      <c r="K296" s="258">
        <f>G296*(1-J296)*(1-E244)</f>
        <v>1.3289578329454641E-5</v>
      </c>
    </row>
    <row r="297" spans="2:11" hidden="1" x14ac:dyDescent="0.25">
      <c r="B297" s="257">
        <v>51</v>
      </c>
      <c r="C297" s="258">
        <f t="shared" si="22"/>
        <v>1.0430261367353605E-3</v>
      </c>
      <c r="D297" s="258">
        <f t="shared" si="27"/>
        <v>0</v>
      </c>
      <c r="E297" s="258">
        <f>0</f>
        <v>0</v>
      </c>
      <c r="F297" s="258">
        <f>C297*I244+D297*J244+E297*K244</f>
        <v>9.4373559966262144E-4</v>
      </c>
      <c r="G297" s="258">
        <f>((C297*(1-I244))-(D297*J244)+(E297*(1-K244)))*F244*G244</f>
        <v>6.6193691381826066E-5</v>
      </c>
      <c r="H297" s="261">
        <f t="shared" si="26"/>
        <v>0.94781499999999996</v>
      </c>
      <c r="I297" s="258">
        <f>G297*(1-H297)*(1-E244)</f>
        <v>3.108886006284536E-6</v>
      </c>
      <c r="J297" s="261">
        <f t="shared" si="25"/>
        <v>0.79816000000000009</v>
      </c>
      <c r="K297" s="258">
        <f>G297*(1-J297)*(1-E244)</f>
        <v>1.2024481201656991E-5</v>
      </c>
    </row>
    <row r="298" spans="2:11" hidden="1" x14ac:dyDescent="0.25">
      <c r="B298" s="257">
        <v>52</v>
      </c>
      <c r="C298" s="258">
        <f t="shared" si="22"/>
        <v>9.4373559966262144E-4</v>
      </c>
      <c r="D298" s="258">
        <f t="shared" si="27"/>
        <v>0</v>
      </c>
      <c r="E298" s="258">
        <f>0</f>
        <v>0</v>
      </c>
      <c r="F298" s="258">
        <f>C298*I244+D298*J244+E298*K244</f>
        <v>8.5389699327979786E-4</v>
      </c>
      <c r="G298" s="258">
        <f>((C298*(1-I244))-(D298*J244)+(E298*(1-K244)))*F244*G244</f>
        <v>5.989240425521571E-5</v>
      </c>
      <c r="H298" s="261">
        <f t="shared" si="26"/>
        <v>0.94781499999999996</v>
      </c>
      <c r="I298" s="258">
        <f>G298*(1-H298)*(1-E244)</f>
        <v>2.8129366044525909E-6</v>
      </c>
      <c r="J298" s="261">
        <f t="shared" si="25"/>
        <v>0.79816000000000009</v>
      </c>
      <c r="K298" s="258">
        <f>G298*(1-J298)*(1-E244)</f>
        <v>1.087981458738546E-5</v>
      </c>
    </row>
    <row r="299" spans="2:11" hidden="1" x14ac:dyDescent="0.25">
      <c r="B299" s="257">
        <v>53</v>
      </c>
      <c r="C299" s="258">
        <f t="shared" si="22"/>
        <v>8.5389699327979786E-4</v>
      </c>
      <c r="D299" s="258">
        <f t="shared" si="27"/>
        <v>0</v>
      </c>
      <c r="E299" s="258">
        <f>0</f>
        <v>0</v>
      </c>
      <c r="F299" s="258">
        <f>C299*I244+D299*J244+E299*K244</f>
        <v>7.7261054408982914E-4</v>
      </c>
      <c r="G299" s="258">
        <f>((C299*(1-I244))-(D299*J244)+(E299*(1-K244)))*F244*G244</f>
        <v>5.4190966126645788E-5</v>
      </c>
      <c r="H299" s="261">
        <f t="shared" si="26"/>
        <v>0.94781499999999996</v>
      </c>
      <c r="I299" s="258">
        <f>G299*(1-H299)*(1-E244)</f>
        <v>2.5451600105871113E-6</v>
      </c>
      <c r="J299" s="261">
        <f t="shared" si="25"/>
        <v>0.79816000000000009</v>
      </c>
      <c r="K299" s="258">
        <f>G299*(1-J299)*(1-E244)</f>
        <v>9.8441141427019626E-6</v>
      </c>
    </row>
    <row r="300" spans="2:11" hidden="1" x14ac:dyDescent="0.25">
      <c r="B300" s="257">
        <v>54</v>
      </c>
      <c r="C300" s="258">
        <f t="shared" si="22"/>
        <v>7.7261054408982914E-4</v>
      </c>
      <c r="D300" s="258">
        <f t="shared" si="27"/>
        <v>0</v>
      </c>
      <c r="E300" s="258">
        <f>0</f>
        <v>0</v>
      </c>
      <c r="F300" s="258">
        <f>C300*I244+D300*J244+E300*K244</f>
        <v>6.9906213224384291E-4</v>
      </c>
      <c r="G300" s="258">
        <f>((C300*(1-I244))-(D300*J244)+(E300*(1-K244)))*F244*G244</f>
        <v>4.9032274563990861E-5</v>
      </c>
      <c r="H300" s="261">
        <f t="shared" si="26"/>
        <v>0.94781499999999996</v>
      </c>
      <c r="I300" s="258">
        <f>G300*(1-H300)*(1-E244)</f>
        <v>2.3028743233096784E-6</v>
      </c>
      <c r="J300" s="261">
        <f t="shared" si="25"/>
        <v>0.79816000000000009</v>
      </c>
      <c r="K300" s="258">
        <f>G300*(1-J300)*(1-E244)</f>
        <v>8.9070068681963206E-6</v>
      </c>
    </row>
    <row r="301" spans="2:11" hidden="1" x14ac:dyDescent="0.25">
      <c r="B301" s="257">
        <v>55</v>
      </c>
      <c r="C301" s="258">
        <f t="shared" si="22"/>
        <v>6.9906213224384291E-4</v>
      </c>
      <c r="D301" s="258">
        <f t="shared" si="27"/>
        <v>0</v>
      </c>
      <c r="E301" s="258">
        <f>0</f>
        <v>0</v>
      </c>
      <c r="F301" s="258">
        <f>C301*I244+D301*J244+E301*K244</f>
        <v>6.32515137769709E-4</v>
      </c>
      <c r="G301" s="258">
        <f>((C301*(1-I244))-(D301*J244)+(E301*(1-K244)))*F244*G244</f>
        <v>4.4364662982755965E-5</v>
      </c>
      <c r="H301" s="261">
        <f t="shared" si="26"/>
        <v>0.94781499999999996</v>
      </c>
      <c r="I301" s="258">
        <f>G301*(1-H301)*(1-E244)</f>
        <v>2.0836529439796098E-6</v>
      </c>
      <c r="J301" s="261">
        <f t="shared" si="25"/>
        <v>0.79816000000000009</v>
      </c>
      <c r="K301" s="258">
        <f>G301*(1-J301)*(1-E244)</f>
        <v>8.0591072187955149E-6</v>
      </c>
    </row>
    <row r="302" spans="2:11" hidden="1" x14ac:dyDescent="0.25">
      <c r="B302" s="257">
        <v>56</v>
      </c>
      <c r="C302" s="258">
        <f t="shared" si="22"/>
        <v>6.32515137769709E-4</v>
      </c>
      <c r="D302" s="258">
        <f t="shared" si="27"/>
        <v>0</v>
      </c>
      <c r="E302" s="258">
        <f>0</f>
        <v>0</v>
      </c>
      <c r="F302" s="258">
        <f>C302*I244+D302*J244+E302*K244</f>
        <v>5.7230306299624009E-4</v>
      </c>
      <c r="G302" s="258">
        <f>((C302*(1-I244))-(D302*J244)+(E302*(1-K244)))*F244*G244</f>
        <v>4.0141383182312622E-5</v>
      </c>
      <c r="H302" s="261">
        <f t="shared" si="26"/>
        <v>0.94781499999999996</v>
      </c>
      <c r="I302" s="258">
        <f>G302*(1-H302)*(1-E244)</f>
        <v>1.885300273232087E-6</v>
      </c>
      <c r="J302" s="261">
        <f t="shared" si="25"/>
        <v>0.79816000000000009</v>
      </c>
      <c r="K302" s="258">
        <f>G302*(1-J302)*(1-E244)</f>
        <v>7.2919231033661783E-6</v>
      </c>
    </row>
    <row r="303" spans="2:11" hidden="1" x14ac:dyDescent="0.25">
      <c r="B303" s="257">
        <v>57</v>
      </c>
      <c r="C303" s="258">
        <f t="shared" si="22"/>
        <v>5.7230306299624009E-4</v>
      </c>
      <c r="D303" s="258">
        <f t="shared" si="27"/>
        <v>0</v>
      </c>
      <c r="E303" s="258">
        <f>0</f>
        <v>0</v>
      </c>
      <c r="F303" s="258">
        <f>C303*I244+D303*J244+E303*K244</f>
        <v>5.1782285728334341E-4</v>
      </c>
      <c r="G303" s="258">
        <f>((C303*(1-I244))-(D303*J244)+(E303*(1-K244)))*F244*G244</f>
        <v>3.6320137141931103E-5</v>
      </c>
      <c r="H303" s="261">
        <f t="shared" si="26"/>
        <v>0.94781499999999996</v>
      </c>
      <c r="I303" s="258">
        <f>G303*(1-H303)*(1-E244)</f>
        <v>1.7058297210765084E-6</v>
      </c>
      <c r="J303" s="261">
        <f t="shared" si="25"/>
        <v>0.79816000000000009</v>
      </c>
      <c r="K303" s="258">
        <f>G303*(1-J303)*(1-E244)</f>
        <v>6.5977708326546335E-6</v>
      </c>
    </row>
    <row r="304" spans="2:11" hidden="1" x14ac:dyDescent="0.25">
      <c r="B304" s="257">
        <v>58</v>
      </c>
      <c r="C304" s="258">
        <f t="shared" si="22"/>
        <v>5.1782285728334341E-4</v>
      </c>
      <c r="D304" s="258">
        <f t="shared" si="27"/>
        <v>0</v>
      </c>
      <c r="E304" s="258">
        <f>0</f>
        <v>0</v>
      </c>
      <c r="F304" s="258">
        <f>C304*I244+D304*J244+E304*K244</f>
        <v>4.6852887720233552E-4</v>
      </c>
      <c r="G304" s="258">
        <f>((C304*(1-I244))-(D304*J244)+(E304*(1-K244)))*F244*G244</f>
        <v>3.2862653387338603E-5</v>
      </c>
      <c r="H304" s="261">
        <f t="shared" si="26"/>
        <v>0.94781499999999996</v>
      </c>
      <c r="I304" s="258">
        <f>G304*(1-H304)*(1-E244)</f>
        <v>1.5434438103164397E-6</v>
      </c>
      <c r="J304" s="261">
        <f t="shared" si="25"/>
        <v>0.79816000000000009</v>
      </c>
      <c r="K304" s="258">
        <f>G304*(1-J304)*(1-E244)</f>
        <v>5.9696981637303787E-6</v>
      </c>
    </row>
    <row r="305" spans="2:11" hidden="1" x14ac:dyDescent="0.25">
      <c r="B305" s="257">
        <v>59</v>
      </c>
      <c r="C305" s="258">
        <f t="shared" si="22"/>
        <v>4.6852887720233552E-4</v>
      </c>
      <c r="D305" s="258">
        <f t="shared" si="27"/>
        <v>0</v>
      </c>
      <c r="E305" s="258">
        <f>0</f>
        <v>0</v>
      </c>
      <c r="F305" s="258">
        <f>C305*I244+D305*J244+E305*K244</f>
        <v>4.2392742167494577E-4</v>
      </c>
      <c r="G305" s="258">
        <f>((C305*(1-I244))-(D305*J244)+(E305*(1-K244)))*F244*G244</f>
        <v>2.9734303684926493E-5</v>
      </c>
      <c r="H305" s="261">
        <f t="shared" si="26"/>
        <v>0.94781499999999996</v>
      </c>
      <c r="I305" s="258">
        <f>G305*(1-H305)*(1-E244)</f>
        <v>1.3965161740181012E-6</v>
      </c>
      <c r="J305" s="261">
        <f t="shared" si="25"/>
        <v>0.79816000000000009</v>
      </c>
      <c r="K305" s="258">
        <f>G305*(1-J305)*(1-E244)</f>
        <v>5.401414670189005E-6</v>
      </c>
    </row>
    <row r="306" spans="2:11" hidden="1" x14ac:dyDescent="0.25">
      <c r="B306" s="257">
        <v>60</v>
      </c>
      <c r="C306" s="258">
        <f t="shared" si="22"/>
        <v>4.2392742167494577E-4</v>
      </c>
      <c r="D306" s="258">
        <f t="shared" si="27"/>
        <v>0</v>
      </c>
      <c r="E306" s="258">
        <f>0</f>
        <v>0</v>
      </c>
      <c r="F306" s="258">
        <f>C306*I244+D306*J244+E306*K244</f>
        <v>3.8357178733800239E-4</v>
      </c>
      <c r="G306" s="258">
        <f>((C306*(1-I244))-(D306*J244)+(E306*(1-K244)))*F244*G244</f>
        <v>2.690375622462891E-5</v>
      </c>
      <c r="H306" s="261">
        <f t="shared" si="26"/>
        <v>0.94781499999999996</v>
      </c>
      <c r="I306" s="258">
        <f>G306*(1-H306)*(1-E244)</f>
        <v>1.2635752667240346E-6</v>
      </c>
      <c r="J306" s="261">
        <f t="shared" si="25"/>
        <v>0.79816000000000009</v>
      </c>
      <c r="K306" s="258">
        <f>G306*(1-J306)*(1-E244)</f>
        <v>4.8872287407411869E-6</v>
      </c>
    </row>
    <row r="307" spans="2:11" hidden="1" x14ac:dyDescent="0.25">
      <c r="B307" s="257">
        <v>61</v>
      </c>
      <c r="C307" s="258">
        <f t="shared" si="22"/>
        <v>3.8357178733800239E-4</v>
      </c>
      <c r="D307" s="258">
        <f t="shared" si="27"/>
        <v>0</v>
      </c>
      <c r="E307" s="258">
        <f>0</f>
        <v>0</v>
      </c>
      <c r="F307" s="258">
        <f>C307*I244+D307*J244+E307*K244</f>
        <v>3.4705779461108403E-4</v>
      </c>
      <c r="G307" s="258">
        <f>((C307*(1-I244))-(D307*J244)+(E307*(1-K244)))*F244*G244</f>
        <v>2.4342661817945578E-5</v>
      </c>
      <c r="H307" s="261">
        <f t="shared" si="26"/>
        <v>0.94781499999999996</v>
      </c>
      <c r="I307" s="258">
        <f>G307*(1-H307)*(1-E244)</f>
        <v>1.1432896262725417E-6</v>
      </c>
      <c r="J307" s="261">
        <v>0</v>
      </c>
      <c r="K307" s="258">
        <f>G307*(1-J307)*(1-E244)</f>
        <v>2.1908395636151022E-5</v>
      </c>
    </row>
    <row r="308" spans="2:11" hidden="1" x14ac:dyDescent="0.25">
      <c r="B308" s="257">
        <v>62</v>
      </c>
      <c r="C308" s="258">
        <f t="shared" si="22"/>
        <v>3.4705779461108403E-4</v>
      </c>
      <c r="D308" s="258">
        <f t="shared" si="27"/>
        <v>0</v>
      </c>
      <c r="E308" s="258">
        <f>0</f>
        <v>0</v>
      </c>
      <c r="F308" s="258">
        <f>C308*I244+D308*J244+E308*K244</f>
        <v>3.1401973965871987E-4</v>
      </c>
      <c r="G308" s="258">
        <f>((C308*(1-I244))-(D308*J244)+(E308*(1-K244)))*F244*G244</f>
        <v>2.2025369968242755E-5</v>
      </c>
      <c r="H308" s="261">
        <f t="shared" si="26"/>
        <v>0.94781499999999996</v>
      </c>
      <c r="I308" s="258">
        <f>G308*(1-H308)*(1-E244)</f>
        <v>1.034454538613474E-6</v>
      </c>
      <c r="J308" s="261">
        <v>0</v>
      </c>
      <c r="K308" s="258">
        <f>G308*(1-J308)*(1-E244)</f>
        <v>1.9822832971418479E-5</v>
      </c>
    </row>
    <row r="309" spans="2:11" hidden="1" x14ac:dyDescent="0.25">
      <c r="B309" s="257">
        <v>63</v>
      </c>
      <c r="C309" s="258">
        <f t="shared" si="22"/>
        <v>3.1401973965871987E-4</v>
      </c>
      <c r="D309" s="258">
        <f t="shared" si="27"/>
        <v>0</v>
      </c>
      <c r="E309" s="258">
        <f>0</f>
        <v>0</v>
      </c>
      <c r="F309" s="258">
        <f>C309*I244+D309*J244+E309*K244</f>
        <v>2.8412673170424434E-4</v>
      </c>
      <c r="G309" s="258">
        <f>((C309*(1-I244))-(D309*J244)+(E309*(1-K244)))*F244*G244</f>
        <v>1.9928671969650347E-5</v>
      </c>
      <c r="H309" s="261">
        <f t="shared" si="26"/>
        <v>0.94781499999999996</v>
      </c>
      <c r="I309" s="258">
        <f>G309*(1-H309)*(1-E244)</f>
        <v>9.3597997206258377E-7</v>
      </c>
      <c r="J309" s="261">
        <v>0</v>
      </c>
      <c r="K309" s="258">
        <f>G309*(1-J309)*(1-E244)</f>
        <v>1.7935804772685311E-5</v>
      </c>
    </row>
    <row r="310" spans="2:11" hidden="1" x14ac:dyDescent="0.25">
      <c r="B310" s="257">
        <v>64</v>
      </c>
      <c r="C310" s="258">
        <f t="shared" si="22"/>
        <v>2.8412673170424434E-4</v>
      </c>
      <c r="D310" s="258">
        <f t="shared" si="27"/>
        <v>0</v>
      </c>
      <c r="E310" s="258">
        <f>0</f>
        <v>0</v>
      </c>
      <c r="F310" s="258">
        <f>C310*I244+D310*J244+E310*K244</f>
        <v>2.5707937901187907E-4</v>
      </c>
      <c r="G310" s="258">
        <f>((C310*(1-I244))-(D310*J244)+(E310*(1-K244)))*F244*G244</f>
        <v>1.8031568461576826E-5</v>
      </c>
      <c r="H310" s="261">
        <f t="shared" si="26"/>
        <v>0.94781499999999996</v>
      </c>
      <c r="I310" s="258">
        <f>G310*(1-H310)*(1-E244)</f>
        <v>8.4687966015064863E-7</v>
      </c>
      <c r="J310" s="261">
        <v>0</v>
      </c>
      <c r="K310" s="258">
        <f>G310*(1-J310)*(1-E244)</f>
        <v>1.6228411615419146E-5</v>
      </c>
    </row>
    <row r="311" spans="2:11" hidden="1" x14ac:dyDescent="0.25">
      <c r="B311" s="257">
        <v>65</v>
      </c>
      <c r="C311" s="258">
        <f t="shared" si="22"/>
        <v>2.5707937901187907E-4</v>
      </c>
      <c r="D311" s="258">
        <f t="shared" si="27"/>
        <v>0</v>
      </c>
      <c r="E311" s="258">
        <f>0</f>
        <v>0</v>
      </c>
      <c r="F311" s="258">
        <f>C311*I244+D311*J244+E311*K244</f>
        <v>2.3260679034568332E-4</v>
      </c>
      <c r="G311" s="258">
        <f>((C311*(1-I244))-(D311*J244)+(E311*(1-K244)))*F244*G244</f>
        <v>1.6315059110797165E-5</v>
      </c>
      <c r="H311" s="261">
        <f t="shared" si="26"/>
        <v>0.94781499999999996</v>
      </c>
      <c r="I311" s="258">
        <f>G311*(1-H311)*(1-E244)</f>
        <v>7.6626122372725563E-7</v>
      </c>
      <c r="J311" s="261">
        <v>0</v>
      </c>
      <c r="K311" s="258">
        <f>G311*(1-J311)*(1-E244)</f>
        <v>1.4683553199717449E-5</v>
      </c>
    </row>
    <row r="312" spans="2:11" hidden="1" x14ac:dyDescent="0.25">
      <c r="B312" s="257">
        <v>66</v>
      </c>
      <c r="C312" s="258">
        <f t="shared" ref="C312:C346" si="28">F311</f>
        <v>2.3260679034568332E-4</v>
      </c>
      <c r="D312" s="258">
        <f t="shared" si="27"/>
        <v>0</v>
      </c>
      <c r="E312" s="258">
        <f>0</f>
        <v>0</v>
      </c>
      <c r="F312" s="258">
        <f>C312*I244+D312*J244+E312*K244</f>
        <v>2.1046386187365326E-4</v>
      </c>
      <c r="G312" s="258">
        <f>((C312*(1-I244))-(D312*J244)+(E312*(1-K244)))*F244*G244</f>
        <v>1.4761952314686696E-5</v>
      </c>
      <c r="H312" s="261">
        <f t="shared" si="26"/>
        <v>0.94781499999999996</v>
      </c>
      <c r="I312" s="258">
        <f>G312*(1-H312)*(1-E244)</f>
        <v>6.9331723338773329E-7</v>
      </c>
      <c r="J312" s="261">
        <v>0</v>
      </c>
      <c r="K312" s="258">
        <f>G312*(1-J312)*(1-E244)</f>
        <v>1.3285757083218027E-5</v>
      </c>
    </row>
    <row r="313" spans="2:11" hidden="1" x14ac:dyDescent="0.25">
      <c r="B313" s="257">
        <v>67</v>
      </c>
      <c r="C313" s="258">
        <f t="shared" si="28"/>
        <v>2.1046386187365326E-4</v>
      </c>
      <c r="D313" s="258">
        <f t="shared" si="27"/>
        <v>0</v>
      </c>
      <c r="E313" s="258">
        <f>0</f>
        <v>0</v>
      </c>
      <c r="F313" s="258">
        <f>C313*I244+D313*J244+E313*K244</f>
        <v>1.9042882234411186E-4</v>
      </c>
      <c r="G313" s="258">
        <f>((C313*(1-I244))-(D313*J244)+(E313*(1-K244)))*F244*G244</f>
        <v>1.3356693019694271E-5</v>
      </c>
      <c r="H313" s="261">
        <f t="shared" si="26"/>
        <v>0.94781499999999996</v>
      </c>
      <c r="I313" s="258">
        <f>G313*(1-H313)*(1-E244)</f>
        <v>6.2731712270947149E-7</v>
      </c>
      <c r="J313" s="261">
        <v>0</v>
      </c>
      <c r="K313" s="258">
        <f>G313*(1-J313)*(1-E244)</f>
        <v>1.2021023717724844E-5</v>
      </c>
    </row>
    <row r="314" spans="2:11" hidden="1" x14ac:dyDescent="0.25">
      <c r="B314" s="257">
        <v>68</v>
      </c>
      <c r="C314" s="258">
        <f t="shared" si="28"/>
        <v>1.9042882234411186E-4</v>
      </c>
      <c r="D314" s="258">
        <f t="shared" si="27"/>
        <v>0</v>
      </c>
      <c r="E314" s="258">
        <f>0</f>
        <v>0</v>
      </c>
      <c r="F314" s="258">
        <f>C314*I244+D314*J244+E314*K244</f>
        <v>1.723010119482412E-4</v>
      </c>
      <c r="G314" s="258">
        <f>((C314*(1-I244))-(D314*J244)+(E314*(1-K244)))*F244*G244</f>
        <v>1.2085206930580442E-5</v>
      </c>
      <c r="H314" s="261">
        <f t="shared" si="26"/>
        <v>0.94781499999999996</v>
      </c>
      <c r="I314" s="258">
        <f>G314*(1-H314)*(1-E244)</f>
        <v>5.6759987130510681E-7</v>
      </c>
      <c r="J314" s="261">
        <v>0</v>
      </c>
      <c r="K314" s="258">
        <f>G314*(1-J314)*(1-E244)</f>
        <v>1.0876686237522398E-5</v>
      </c>
    </row>
    <row r="315" spans="2:11" hidden="1" x14ac:dyDescent="0.25">
      <c r="B315" s="257">
        <v>69</v>
      </c>
      <c r="C315" s="258">
        <f t="shared" si="28"/>
        <v>1.723010119482412E-4</v>
      </c>
      <c r="D315" s="258">
        <f t="shared" si="27"/>
        <v>0</v>
      </c>
      <c r="E315" s="258">
        <f>0</f>
        <v>0</v>
      </c>
      <c r="F315" s="258">
        <f>C315*I244+D315*J244+E315*K244</f>
        <v>1.5589887262308069E-4</v>
      </c>
      <c r="G315" s="258">
        <f>((C315*(1-I244))-(D315*J244)+(E315*(1-K244)))*F244*G244</f>
        <v>1.093475955010701E-5</v>
      </c>
      <c r="H315" s="261">
        <f t="shared" si="26"/>
        <v>0.94781499999999996</v>
      </c>
      <c r="I315" s="258">
        <f>G315*(1-H315)*(1-E244)</f>
        <v>5.1356738441010127E-7</v>
      </c>
      <c r="J315" s="261">
        <v>0</v>
      </c>
      <c r="K315" s="258">
        <f>G315*(1-J315)*(1-E244)</f>
        <v>9.8412835950963093E-6</v>
      </c>
    </row>
    <row r="316" spans="2:11" hidden="1" x14ac:dyDescent="0.25">
      <c r="B316" s="257">
        <v>70</v>
      </c>
      <c r="C316" s="258">
        <f t="shared" si="28"/>
        <v>1.5589887262308069E-4</v>
      </c>
      <c r="D316" s="258">
        <f t="shared" si="27"/>
        <v>0</v>
      </c>
      <c r="E316" s="258">
        <f>0</f>
        <v>0</v>
      </c>
      <c r="F316" s="258">
        <f>C316*I244+D316*J244+E316*K244</f>
        <v>1.4105812966698383E-4</v>
      </c>
      <c r="G316" s="258">
        <f>((C316*(1-I244))-(D316*J244)+(E316*(1-K244)))*F244*G244</f>
        <v>9.8938286373979069E-6</v>
      </c>
      <c r="H316" s="261">
        <f t="shared" si="26"/>
        <v>0.94781499999999996</v>
      </c>
      <c r="I316" s="258">
        <f>G316*(1-H316)*(1-E244)</f>
        <v>4.646785026983492E-7</v>
      </c>
      <c r="J316" s="261">
        <v>0</v>
      </c>
      <c r="K316" s="258">
        <f>G316*(1-J316)*(1-E244)</f>
        <v>8.9044457736581172E-6</v>
      </c>
    </row>
    <row r="317" spans="2:11" hidden="1" x14ac:dyDescent="0.25">
      <c r="B317" s="257">
        <v>71</v>
      </c>
      <c r="C317" s="258">
        <f t="shared" si="28"/>
        <v>1.4105812966698383E-4</v>
      </c>
      <c r="D317" s="258">
        <f t="shared" si="27"/>
        <v>0</v>
      </c>
      <c r="E317" s="258">
        <f>0</f>
        <v>0</v>
      </c>
      <c r="F317" s="258">
        <f>C317*I244+D317*J244+E317*K244</f>
        <v>1.276301464556058E-4</v>
      </c>
      <c r="G317" s="258">
        <f>((C317*(1-I244))-(D317*J244)+(E317*(1-K244)))*F244*G244</f>
        <v>8.9519888075853461E-6</v>
      </c>
      <c r="H317" s="261">
        <f t="shared" si="26"/>
        <v>0.94781499999999996</v>
      </c>
      <c r="I317" s="258">
        <f>G317*(1-H317)*(1-E244)</f>
        <v>4.2044358233145743E-7</v>
      </c>
      <c r="J317" s="261">
        <v>0</v>
      </c>
      <c r="K317" s="258">
        <f>G317*(1-J317)*(1-E244)</f>
        <v>8.0567899268268123E-6</v>
      </c>
    </row>
    <row r="318" spans="2:11" hidden="1" x14ac:dyDescent="0.25">
      <c r="B318" s="257">
        <v>72</v>
      </c>
      <c r="C318" s="258">
        <f t="shared" si="28"/>
        <v>1.276301464556058E-4</v>
      </c>
      <c r="D318" s="258">
        <f t="shared" si="27"/>
        <v>0</v>
      </c>
      <c r="E318" s="258">
        <f>0</f>
        <v>0</v>
      </c>
      <c r="F318" s="258">
        <f>C318*I244+D318*J244+E318*K244</f>
        <v>1.1548043578017261E-4</v>
      </c>
      <c r="G318" s="258">
        <f>((C318*(1-I244))-(D318*J244)+(E318*(1-K244)))*F244*G244</f>
        <v>8.099807116955459E-6</v>
      </c>
      <c r="H318" s="261">
        <f t="shared" si="26"/>
        <v>0.94781499999999996</v>
      </c>
      <c r="I318" s="258">
        <f>G318*(1-H318)*(1-E244)</f>
        <v>3.8041959095848883E-7</v>
      </c>
      <c r="J318" s="261">
        <v>0</v>
      </c>
      <c r="K318" s="258">
        <f>G318*(1-J318)*(1-E244)</f>
        <v>7.2898264052599129E-6</v>
      </c>
    </row>
    <row r="319" spans="2:11" hidden="1" x14ac:dyDescent="0.25">
      <c r="B319" s="257">
        <v>73</v>
      </c>
      <c r="C319" s="258">
        <f t="shared" si="28"/>
        <v>1.1548043578017261E-4</v>
      </c>
      <c r="D319" s="258">
        <f t="shared" si="27"/>
        <v>0</v>
      </c>
      <c r="E319" s="258">
        <f>0</f>
        <v>0</v>
      </c>
      <c r="F319" s="258">
        <f>C319*I244+D319*J244+E319*K244</f>
        <v>1.0448731289842405E-4</v>
      </c>
      <c r="G319" s="258">
        <f>((C319*(1-I244))-(D319*J244)+(E319*(1-K244)))*F244*G244</f>
        <v>7.3287485878323733E-6</v>
      </c>
      <c r="H319" s="261">
        <f t="shared" si="26"/>
        <v>0.94781499999999996</v>
      </c>
      <c r="I319" s="258">
        <f>G319*(1-H319)*(1-E244)</f>
        <v>3.4420567055042938E-7</v>
      </c>
      <c r="J319" s="261">
        <v>0</v>
      </c>
      <c r="K319" s="258">
        <f>G319*(1-J319)*(1-E244)</f>
        <v>6.5958737290491361E-6</v>
      </c>
    </row>
    <row r="320" spans="2:11" hidden="1" x14ac:dyDescent="0.25">
      <c r="B320" s="257">
        <v>74</v>
      </c>
      <c r="C320" s="258">
        <f t="shared" si="28"/>
        <v>1.0448731289842405E-4</v>
      </c>
      <c r="D320" s="258">
        <f t="shared" si="27"/>
        <v>0</v>
      </c>
      <c r="E320" s="258">
        <f>0</f>
        <v>0</v>
      </c>
      <c r="F320" s="258">
        <f>C320*I244+D320*J244+E320*K244</f>
        <v>9.4540676807938306E-5</v>
      </c>
      <c r="G320" s="258">
        <f>((C320*(1-I244))-(D320*J244)+(E320*(1-K244)))*F244*G244</f>
        <v>6.6310907269905012E-6</v>
      </c>
      <c r="H320" s="261">
        <f t="shared" si="26"/>
        <v>0.94781499999999996</v>
      </c>
      <c r="I320" s="258">
        <f>G320*(1-H320)*(1-E244)</f>
        <v>3.1143912262919961E-7</v>
      </c>
      <c r="J320" s="261">
        <v>0</v>
      </c>
      <c r="K320" s="258">
        <f>G320*(1-J320)*(1-E244)</f>
        <v>5.9679816542914514E-6</v>
      </c>
    </row>
    <row r="321" spans="2:11" hidden="1" x14ac:dyDescent="0.25">
      <c r="B321" s="257">
        <v>75</v>
      </c>
      <c r="C321" s="258">
        <f t="shared" si="28"/>
        <v>9.4540676807938306E-5</v>
      </c>
      <c r="D321" s="258">
        <f t="shared" si="27"/>
        <v>0</v>
      </c>
      <c r="E321" s="258">
        <f>0</f>
        <v>0</v>
      </c>
      <c r="F321" s="258">
        <f>C321*I244+D321*J244+E321*K244</f>
        <v>8.554090753574974E-5</v>
      </c>
      <c r="G321" s="258">
        <f>((C321*(1-I244))-(D321*J244)+(E321*(1-K244)))*F244*G244</f>
        <v>5.9998461814590413E-6</v>
      </c>
      <c r="H321" s="261">
        <f t="shared" ref="H321:H346" si="29">0.95*0.9977</f>
        <v>0.94781499999999996</v>
      </c>
      <c r="I321" s="258">
        <f>G321*(1-H321)*(1-E244)</f>
        <v>2.8179177568149631E-7</v>
      </c>
      <c r="J321" s="261">
        <v>0</v>
      </c>
      <c r="K321" s="258">
        <f>G321*(1-J321)*(1-E244)</f>
        <v>5.3998615633131373E-6</v>
      </c>
    </row>
    <row r="322" spans="2:11" hidden="1" x14ac:dyDescent="0.25">
      <c r="B322" s="257">
        <v>76</v>
      </c>
      <c r="C322" s="258">
        <f t="shared" si="28"/>
        <v>8.554090753574974E-5</v>
      </c>
      <c r="D322" s="258">
        <f t="shared" si="27"/>
        <v>0</v>
      </c>
      <c r="E322" s="258">
        <f>0</f>
        <v>0</v>
      </c>
      <c r="F322" s="258">
        <f>C322*I244+D322*J244+E322*K244</f>
        <v>7.7397868400126362E-5</v>
      </c>
      <c r="G322" s="258">
        <f>((C322*(1-I244))-(D322*J244)+(E322*(1-K244)))*F244*G244</f>
        <v>5.4286927570822555E-6</v>
      </c>
      <c r="H322" s="261">
        <f t="shared" si="29"/>
        <v>0.94781499999999996</v>
      </c>
      <c r="I322" s="258">
        <f>G322*(1-H322)*(1-E244)</f>
        <v>2.5496669837550395E-7</v>
      </c>
      <c r="J322" s="261">
        <v>0</v>
      </c>
      <c r="K322" s="258">
        <f>G322*(1-J322)*(1-E244)</f>
        <v>4.8858234813740301E-6</v>
      </c>
    </row>
    <row r="323" spans="2:11" hidden="1" x14ac:dyDescent="0.25">
      <c r="B323" s="257">
        <v>77</v>
      </c>
      <c r="C323" s="258">
        <f t="shared" si="28"/>
        <v>7.7397868400126362E-5</v>
      </c>
      <c r="D323" s="258">
        <f t="shared" si="27"/>
        <v>0</v>
      </c>
      <c r="E323" s="258">
        <f>0</f>
        <v>0</v>
      </c>
      <c r="F323" s="258">
        <f>C323*I244+D323*J244+E323*K244</f>
        <v>7.0030003251715837E-5</v>
      </c>
      <c r="G323" s="258">
        <f>((C323*(1-I244))-(D323*J244)+(E323*(1-K244)))*F244*G244</f>
        <v>4.9119100989403467E-6</v>
      </c>
      <c r="H323" s="261">
        <f t="shared" si="29"/>
        <v>0.94781499999999996</v>
      </c>
      <c r="I323" s="258">
        <f>G323*(1-H323)*(1-E244)</f>
        <v>2.3069522566188199E-7</v>
      </c>
      <c r="J323" s="261">
        <v>0</v>
      </c>
      <c r="K323" s="258">
        <f>G323*(1-J323)*(1-E244)</f>
        <v>4.4207190890463124E-6</v>
      </c>
    </row>
    <row r="324" spans="2:11" hidden="1" x14ac:dyDescent="0.25">
      <c r="B324" s="257">
        <v>78</v>
      </c>
      <c r="C324" s="258">
        <f t="shared" si="28"/>
        <v>7.0030003251715837E-5</v>
      </c>
      <c r="D324" s="258">
        <f t="shared" si="27"/>
        <v>0</v>
      </c>
      <c r="E324" s="258">
        <f>0</f>
        <v>0</v>
      </c>
      <c r="F324" s="258">
        <f>C324*I244+D324*J244+E324*K244</f>
        <v>6.336351965252992E-5</v>
      </c>
      <c r="G324" s="258">
        <f>((C324*(1-I244))-(D324*J244)+(E324*(1-K244)))*F244*G244</f>
        <v>4.4443223994572788E-6</v>
      </c>
      <c r="H324" s="261">
        <f t="shared" si="29"/>
        <v>0.94781499999999996</v>
      </c>
      <c r="I324" s="258">
        <f>G324*(1-H324)*(1-E244)</f>
        <v>2.0873426797411043E-7</v>
      </c>
      <c r="J324" s="261">
        <v>0</v>
      </c>
      <c r="K324" s="258">
        <f>G324*(1-J324)*(1-E244)</f>
        <v>3.9998901595115512E-6</v>
      </c>
    </row>
    <row r="325" spans="2:11" hidden="1" x14ac:dyDescent="0.25">
      <c r="B325" s="257">
        <v>79</v>
      </c>
      <c r="C325" s="258">
        <f t="shared" si="28"/>
        <v>6.336351965252992E-5</v>
      </c>
      <c r="D325" s="258">
        <f t="shared" si="27"/>
        <v>0</v>
      </c>
      <c r="E325" s="258">
        <f>0</f>
        <v>0</v>
      </c>
      <c r="F325" s="258">
        <f>C325*I244+D325*J244+E325*K244</f>
        <v>5.7331649811942187E-5</v>
      </c>
      <c r="G325" s="258">
        <f>((C325*(1-I244))-(D325*J244)+(E325*(1-K244)))*F244*G244</f>
        <v>4.0212465603918197E-6</v>
      </c>
      <c r="H325" s="261">
        <f t="shared" si="29"/>
        <v>0.94781499999999996</v>
      </c>
      <c r="I325" s="258">
        <f>G325*(1-H325)*(1-E244)</f>
        <v>1.8886387657864255E-7</v>
      </c>
      <c r="J325" s="261">
        <v>0</v>
      </c>
      <c r="K325" s="258">
        <f>G325*(1-J325)*(1-E244)</f>
        <v>3.6191219043526377E-6</v>
      </c>
    </row>
    <row r="326" spans="2:11" hidden="1" x14ac:dyDescent="0.25">
      <c r="B326" s="257">
        <v>80</v>
      </c>
      <c r="C326" s="258">
        <f t="shared" si="28"/>
        <v>5.7331649811942187E-5</v>
      </c>
      <c r="D326" s="258">
        <f t="shared" si="27"/>
        <v>0</v>
      </c>
      <c r="E326" s="258">
        <f>0</f>
        <v>0</v>
      </c>
      <c r="F326" s="258">
        <f>C326*I244+D326*J244+E326*K244</f>
        <v>5.187398187764549E-5</v>
      </c>
      <c r="G326" s="258">
        <f>((C326*(1-I244))-(D326*J244)+(E326*(1-K244)))*F244*G244</f>
        <v>3.6384452895311325E-6</v>
      </c>
      <c r="H326" s="261">
        <f t="shared" si="29"/>
        <v>0.94781499999999996</v>
      </c>
      <c r="I326" s="258">
        <f>G326*(1-H326)*(1-E244)</f>
        <v>1.7088504069076405E-7</v>
      </c>
      <c r="J326" s="261">
        <v>0</v>
      </c>
      <c r="K326" s="258">
        <f>G326*(1-J326)*(1-E244)</f>
        <v>3.2746007605780193E-6</v>
      </c>
    </row>
    <row r="327" spans="2:11" hidden="1" x14ac:dyDescent="0.25">
      <c r="B327" s="257">
        <v>81</v>
      </c>
      <c r="C327" s="258">
        <f t="shared" si="28"/>
        <v>5.187398187764549E-5</v>
      </c>
      <c r="D327" s="258">
        <f t="shared" si="27"/>
        <v>0</v>
      </c>
      <c r="E327" s="258">
        <f>0</f>
        <v>0</v>
      </c>
      <c r="F327" s="258">
        <f>C327*I244+D327*J244+E327*K244</f>
        <v>4.6935854884151198E-5</v>
      </c>
      <c r="G327" s="258">
        <f>((C327*(1-I244))-(D327*J244)+(E327*(1-K244)))*F244*G244</f>
        <v>3.2920846623295295E-6</v>
      </c>
      <c r="H327" s="261">
        <f t="shared" si="29"/>
        <v>0.94781499999999996</v>
      </c>
      <c r="I327" s="258">
        <f>G327*(1-H327)*(1-E244)</f>
        <v>1.5461769429329997E-7</v>
      </c>
      <c r="J327" s="261">
        <v>0</v>
      </c>
      <c r="K327" s="258">
        <f>G327*(1-J327)*(1-E244)</f>
        <v>2.9628761960965767E-6</v>
      </c>
    </row>
    <row r="328" spans="2:11" hidden="1" x14ac:dyDescent="0.25">
      <c r="B328" s="257">
        <v>82</v>
      </c>
      <c r="C328" s="258">
        <f t="shared" si="28"/>
        <v>4.6935854884151198E-5</v>
      </c>
      <c r="D328" s="258">
        <f t="shared" si="27"/>
        <v>0</v>
      </c>
      <c r="E328" s="258">
        <f>0</f>
        <v>0</v>
      </c>
      <c r="F328" s="258">
        <f>C328*I244+D328*J244+E328*K244</f>
        <v>4.2467811298971185E-5</v>
      </c>
      <c r="G328" s="258">
        <f>((C328*(1-I244))-(D328*J244)+(E328*(1-K244)))*F244*G244</f>
        <v>2.9786957234533403E-6</v>
      </c>
      <c r="H328" s="261">
        <f t="shared" si="29"/>
        <v>0.94781499999999996</v>
      </c>
      <c r="I328" s="258">
        <f>G328*(1-H328)*(1-E244)</f>
        <v>1.3989891269557141E-7</v>
      </c>
      <c r="J328" s="261">
        <v>0</v>
      </c>
      <c r="K328" s="258">
        <f>G328*(1-J328)*(1-E244)</f>
        <v>2.6808261511080064E-6</v>
      </c>
    </row>
    <row r="329" spans="2:11" hidden="1" x14ac:dyDescent="0.25">
      <c r="B329" s="257">
        <v>83</v>
      </c>
      <c r="C329" s="258">
        <f t="shared" si="28"/>
        <v>4.2467811298971185E-5</v>
      </c>
      <c r="D329" s="258">
        <f t="shared" si="27"/>
        <v>0</v>
      </c>
      <c r="E329" s="258">
        <f>0</f>
        <v>0</v>
      </c>
      <c r="F329" s="258">
        <f>C329*I244+D329*J244+E329*K244</f>
        <v>3.8425101683489664E-5</v>
      </c>
      <c r="G329" s="258">
        <f>((C329*(1-I244))-(D329*J244)+(E329*(1-K244)))*F244*G244</f>
        <v>2.6951397436543479E-6</v>
      </c>
      <c r="H329" s="261">
        <f t="shared" si="29"/>
        <v>0.94781499999999996</v>
      </c>
      <c r="I329" s="258">
        <f>G329*(1-H329)*(1-E244)</f>
        <v>1.2658128077034203E-7</v>
      </c>
      <c r="J329" s="261">
        <v>0</v>
      </c>
      <c r="K329" s="258">
        <f>G329*(1-J329)*(1-E244)</f>
        <v>2.4256257692889131E-6</v>
      </c>
    </row>
    <row r="330" spans="2:11" hidden="1" x14ac:dyDescent="0.25">
      <c r="B330" s="257">
        <v>84</v>
      </c>
      <c r="C330" s="258">
        <f t="shared" si="28"/>
        <v>3.8425101683489664E-5</v>
      </c>
      <c r="D330" s="258">
        <f t="shared" ref="D330:D346" si="30">E329</f>
        <v>0</v>
      </c>
      <c r="E330" s="258">
        <f>0</f>
        <v>0</v>
      </c>
      <c r="F330" s="258">
        <f>C330*I244+D330*J244+E330*K244</f>
        <v>3.476723650748371E-5</v>
      </c>
      <c r="G330" s="258">
        <f>((C330*(1-I244))-(D330*J244)+(E330*(1-K244)))*F244*G244</f>
        <v>2.4385767840039695E-6</v>
      </c>
      <c r="H330" s="261">
        <f t="shared" si="29"/>
        <v>0.94781499999999996</v>
      </c>
      <c r="I330" s="258">
        <f>G330*(1-H330)*(1-E244)</f>
        <v>1.1453141652592251E-7</v>
      </c>
      <c r="J330" s="261">
        <v>0</v>
      </c>
      <c r="K330" s="258">
        <f>G330*(1-J330)*(1-E244)</f>
        <v>2.1947191056035725E-6</v>
      </c>
    </row>
    <row r="331" spans="2:11" hidden="1" x14ac:dyDescent="0.25">
      <c r="B331" s="257">
        <v>85</v>
      </c>
      <c r="C331" s="258">
        <f t="shared" si="28"/>
        <v>3.476723650748371E-5</v>
      </c>
      <c r="D331" s="258">
        <f t="shared" si="30"/>
        <v>0</v>
      </c>
      <c r="E331" s="258">
        <f>0</f>
        <v>0</v>
      </c>
      <c r="F331" s="258">
        <f>C331*I244+D331*J244+E331*K244</f>
        <v>3.145758062851616E-5</v>
      </c>
      <c r="G331" s="258">
        <f>((C331*(1-I244))-(D331*J244)+(E331*(1-K244)))*F244*G244</f>
        <v>2.2064372526450344E-6</v>
      </c>
      <c r="H331" s="261">
        <f t="shared" si="29"/>
        <v>0.94781499999999996</v>
      </c>
      <c r="I331" s="258">
        <f>G331*(1-H331)*(1-E244)</f>
        <v>1.0362863522635308E-7</v>
      </c>
      <c r="J331" s="261">
        <v>0</v>
      </c>
      <c r="K331" s="258">
        <f>G331*(1-J331)*(1-E244)</f>
        <v>1.9857935273805309E-6</v>
      </c>
    </row>
    <row r="332" spans="2:11" hidden="1" x14ac:dyDescent="0.25">
      <c r="B332" s="257">
        <v>86</v>
      </c>
      <c r="C332" s="258">
        <f t="shared" si="28"/>
        <v>3.145758062851616E-5</v>
      </c>
      <c r="D332" s="258">
        <f t="shared" si="30"/>
        <v>0</v>
      </c>
      <c r="E332" s="258">
        <f>0</f>
        <v>0</v>
      </c>
      <c r="F332" s="258">
        <f>C332*I244+D332*J244+E332*K244</f>
        <v>2.8462986374732038E-5</v>
      </c>
      <c r="G332" s="258">
        <f>((C332*(1-I244))-(D332*J244)+(E332*(1-K244)))*F244*G244</f>
        <v>1.9963961691894148E-6</v>
      </c>
      <c r="H332" s="261">
        <f t="shared" si="29"/>
        <v>0.94781499999999996</v>
      </c>
      <c r="I332" s="258">
        <f>G332*(1-H332)*(1-E244)</f>
        <v>9.3763740680234718E-8</v>
      </c>
      <c r="J332" s="261">
        <v>0</v>
      </c>
      <c r="K332" s="258">
        <f>G332*(1-J332)*(1-E244)</f>
        <v>1.7967565522704733E-6</v>
      </c>
    </row>
    <row r="333" spans="2:11" hidden="1" x14ac:dyDescent="0.25">
      <c r="B333" s="257">
        <v>87</v>
      </c>
      <c r="C333" s="258">
        <f t="shared" si="28"/>
        <v>2.8462986374732038E-5</v>
      </c>
      <c r="D333" s="258">
        <f t="shared" si="30"/>
        <v>0</v>
      </c>
      <c r="E333" s="258">
        <f>0</f>
        <v>0</v>
      </c>
      <c r="F333" s="258">
        <f>C333*I244+D333*J244+E333*K244</f>
        <v>2.575346155621999E-5</v>
      </c>
      <c r="G333" s="258">
        <f>((C333*(1-I244))-(D333*J244)+(E333*(1-K244)))*F244*G244</f>
        <v>1.8063498790080311E-6</v>
      </c>
      <c r="H333" s="261">
        <f t="shared" si="29"/>
        <v>0.94781499999999996</v>
      </c>
      <c r="I333" s="258">
        <f>G333*(1-H333)*(1-E244)</f>
        <v>8.4837931592430748E-8</v>
      </c>
      <c r="J333" s="261">
        <v>0</v>
      </c>
      <c r="K333" s="258">
        <f>G333*(1-J333)*(1-E244)</f>
        <v>1.6257148911072281E-6</v>
      </c>
    </row>
    <row r="334" spans="2:11" hidden="1" x14ac:dyDescent="0.25">
      <c r="B334" s="257">
        <v>88</v>
      </c>
      <c r="C334" s="258">
        <f t="shared" si="28"/>
        <v>2.575346155621999E-5</v>
      </c>
      <c r="D334" s="258">
        <f t="shared" si="30"/>
        <v>0</v>
      </c>
      <c r="E334" s="258">
        <f>0</f>
        <v>0</v>
      </c>
      <c r="F334" s="258">
        <f>C334*I244+D334*J244+E334*K244</f>
        <v>2.3301869079925209E-5</v>
      </c>
      <c r="G334" s="258">
        <f>((C334*(1-I244))-(D334*J244)+(E334*(1-K244)))*F244*G244</f>
        <v>1.6343949841965209E-6</v>
      </c>
      <c r="H334" s="261">
        <f t="shared" si="29"/>
        <v>0.94781499999999996</v>
      </c>
      <c r="I334" s="258">
        <f>G334*(1-H334)*(1-E244)</f>
        <v>7.676181202526595E-8</v>
      </c>
      <c r="J334" s="261">
        <v>0</v>
      </c>
      <c r="K334" s="258">
        <f>G334*(1-J334)*(1-E244)</f>
        <v>1.4709554857768689E-6</v>
      </c>
    </row>
    <row r="335" spans="2:11" hidden="1" x14ac:dyDescent="0.25">
      <c r="B335" s="257">
        <v>89</v>
      </c>
      <c r="C335" s="258">
        <f t="shared" si="28"/>
        <v>2.3301869079925209E-5</v>
      </c>
      <c r="D335" s="258">
        <f t="shared" si="30"/>
        <v>0</v>
      </c>
      <c r="E335" s="258">
        <f>0</f>
        <v>0</v>
      </c>
      <c r="F335" s="258">
        <f>C335*I244+D335*J244+E335*K244</f>
        <v>2.1083655159623945E-5</v>
      </c>
      <c r="G335" s="258">
        <f>((C335*(1-I244))-(D335*J244)+(E335*(1-K244)))*F244*G244</f>
        <v>1.4788092802008429E-6</v>
      </c>
      <c r="H335" s="261">
        <f t="shared" si="29"/>
        <v>0.94781499999999996</v>
      </c>
      <c r="I335" s="258">
        <f>G335*(1-H335)*(1-E244)</f>
        <v>6.9454496058552933E-8</v>
      </c>
      <c r="J335" s="261">
        <v>0</v>
      </c>
      <c r="K335" s="258">
        <f>G335*(1-J335)*(1-E244)</f>
        <v>1.3309283521807587E-6</v>
      </c>
    </row>
    <row r="336" spans="2:11" hidden="1" x14ac:dyDescent="0.25">
      <c r="B336" s="257">
        <v>90</v>
      </c>
      <c r="C336" s="258">
        <f t="shared" si="28"/>
        <v>2.1083655159623945E-5</v>
      </c>
      <c r="D336" s="258">
        <f t="shared" si="30"/>
        <v>0</v>
      </c>
      <c r="E336" s="258">
        <f>0</f>
        <v>0</v>
      </c>
      <c r="F336" s="258">
        <f>C336*I244+D336*J244+E336*K244</f>
        <v>1.9076603398861948E-5</v>
      </c>
      <c r="G336" s="258">
        <f>((C336*(1-I244))-(D336*J244)+(E336*(1-K244)))*F244*G244</f>
        <v>1.3380345071746642E-6</v>
      </c>
      <c r="H336" s="261">
        <f t="shared" si="29"/>
        <v>0.94781499999999996</v>
      </c>
      <c r="I336" s="258">
        <f>G336*(1-H336)*(1-E244)</f>
        <v>6.284279768121891E-8</v>
      </c>
      <c r="J336" s="261">
        <v>0</v>
      </c>
      <c r="K336" s="258">
        <f>G336*(1-J336)*(1-E244)</f>
        <v>1.2042310564571977E-6</v>
      </c>
    </row>
    <row r="337" spans="2:11" hidden="1" x14ac:dyDescent="0.25">
      <c r="B337" s="257">
        <v>91</v>
      </c>
      <c r="C337" s="258">
        <f t="shared" si="28"/>
        <v>1.9076603398861948E-5</v>
      </c>
      <c r="D337" s="258">
        <f t="shared" si="30"/>
        <v>0</v>
      </c>
      <c r="E337" s="258">
        <f>0</f>
        <v>0</v>
      </c>
      <c r="F337" s="258">
        <f>C337*I244+D337*J244+E337*K244</f>
        <v>1.7260612283888359E-5</v>
      </c>
      <c r="G337" s="258">
        <f>((C337*(1-I244))-(D337*J244)+(E337*(1-K244)))*F244*G244</f>
        <v>1.2106607433157261E-6</v>
      </c>
      <c r="H337" s="261">
        <f t="shared" si="29"/>
        <v>0.94781499999999996</v>
      </c>
      <c r="I337" s="258">
        <f>G337*(1-H337)*(1-E244)</f>
        <v>5.6860497800938093E-8</v>
      </c>
      <c r="J337" s="261">
        <v>0</v>
      </c>
      <c r="K337" s="258">
        <f>G337*(1-J337)*(1-E244)</f>
        <v>1.0895946689841537E-6</v>
      </c>
    </row>
    <row r="338" spans="2:11" hidden="1" x14ac:dyDescent="0.25">
      <c r="B338" s="257">
        <v>92</v>
      </c>
      <c r="C338" s="258">
        <f t="shared" si="28"/>
        <v>1.7260612283888359E-5</v>
      </c>
      <c r="D338" s="258">
        <f t="shared" si="30"/>
        <v>0</v>
      </c>
      <c r="E338" s="258">
        <f>0</f>
        <v>0</v>
      </c>
      <c r="F338" s="258">
        <f>C338*I244+D338*J244+E338*K244</f>
        <v>1.5617493858078069E-5</v>
      </c>
      <c r="G338" s="258">
        <f>((C338*(1-I244))-(D338*J244)+(E338*(1-K244)))*F244*G244</f>
        <v>1.0954122838735259E-6</v>
      </c>
      <c r="H338" s="261">
        <f t="shared" si="29"/>
        <v>0.94781499999999996</v>
      </c>
      <c r="I338" s="258">
        <f>G338*(1-H338)*(1-E244)</f>
        <v>5.1447681030545993E-8</v>
      </c>
      <c r="J338" s="261">
        <v>0</v>
      </c>
      <c r="K338" s="258">
        <f>G338*(1-J338)*(1-E244)</f>
        <v>9.8587105548617329E-7</v>
      </c>
    </row>
    <row r="339" spans="2:11" hidden="1" x14ac:dyDescent="0.25">
      <c r="B339" s="257">
        <v>93</v>
      </c>
      <c r="C339" s="258">
        <f t="shared" si="28"/>
        <v>1.5617493858078069E-5</v>
      </c>
      <c r="D339" s="258">
        <f t="shared" si="30"/>
        <v>0</v>
      </c>
      <c r="E339" s="258">
        <f>0</f>
        <v>0</v>
      </c>
      <c r="F339" s="258">
        <f>C339*I244+D339*J244+E339*K244</f>
        <v>1.4130791561477599E-5</v>
      </c>
      <c r="G339" s="258">
        <f>((C339*(1-I244))-(D339*J244)+(E339*(1-K244)))*F244*G244</f>
        <v>9.9113486440031282E-7</v>
      </c>
      <c r="H339" s="261">
        <f t="shared" si="29"/>
        <v>0.94781499999999996</v>
      </c>
      <c r="I339" s="258">
        <f>G339*(1-H339)*(1-E244)</f>
        <v>4.6550135608857331E-8</v>
      </c>
      <c r="J339" s="261">
        <v>0</v>
      </c>
      <c r="K339" s="258">
        <f>G339*(1-J339)*(1-E244)</f>
        <v>8.920213779602816E-7</v>
      </c>
    </row>
    <row r="340" spans="2:11" hidden="1" x14ac:dyDescent="0.25">
      <c r="B340" s="257">
        <v>94</v>
      </c>
      <c r="C340" s="258">
        <f t="shared" si="28"/>
        <v>1.4130791561477599E-5</v>
      </c>
      <c r="D340" s="258">
        <f t="shared" si="30"/>
        <v>0</v>
      </c>
      <c r="E340" s="258">
        <f>0</f>
        <v>0</v>
      </c>
      <c r="F340" s="258">
        <f>C340*I244+D340*J244+E340*K244</f>
        <v>1.2785615411056713E-5</v>
      </c>
      <c r="G340" s="258">
        <f>((C340*(1-I244))-(D340*J244)+(E340*(1-K244)))*F244*G244</f>
        <v>8.9678410028059021E-7</v>
      </c>
      <c r="H340" s="261">
        <f t="shared" si="29"/>
        <v>0.94781499999999996</v>
      </c>
      <c r="I340" s="258">
        <f>G340*(1-H340)*(1-E244)</f>
        <v>4.2118810445828367E-8</v>
      </c>
      <c r="J340" s="261">
        <v>0</v>
      </c>
      <c r="K340" s="258">
        <f>G340*(1-J340)*(1-E244)</f>
        <v>8.0710569025253119E-7</v>
      </c>
    </row>
    <row r="341" spans="2:11" hidden="1" x14ac:dyDescent="0.25">
      <c r="B341" s="257">
        <v>95</v>
      </c>
      <c r="C341" s="258">
        <f t="shared" si="28"/>
        <v>1.2785615411056713E-5</v>
      </c>
      <c r="D341" s="258">
        <f t="shared" si="30"/>
        <v>0</v>
      </c>
      <c r="E341" s="258">
        <f>0</f>
        <v>0</v>
      </c>
      <c r="F341" s="258">
        <f>C341*I244+D341*J244+E341*K244</f>
        <v>1.1568492870922889E-5</v>
      </c>
      <c r="G341" s="258">
        <f>((C341*(1-I244))-(D341*J244)+(E341*(1-K244)))*F244*G244</f>
        <v>8.1141502675588231E-7</v>
      </c>
      <c r="H341" s="261">
        <f t="shared" si="29"/>
        <v>0.94781499999999996</v>
      </c>
      <c r="I341" s="258">
        <f>G341*(1-H341)*(1-E244)</f>
        <v>3.8109323854130171E-8</v>
      </c>
      <c r="J341" s="261">
        <v>0</v>
      </c>
      <c r="K341" s="258">
        <f>G341*(1-J341)*(1-E244)</f>
        <v>7.3027352408029408E-7</v>
      </c>
    </row>
    <row r="342" spans="2:11" hidden="1" x14ac:dyDescent="0.25">
      <c r="B342" s="257">
        <v>96</v>
      </c>
      <c r="C342" s="258">
        <f t="shared" si="28"/>
        <v>1.1568492870922889E-5</v>
      </c>
      <c r="D342" s="258">
        <f t="shared" si="30"/>
        <v>0</v>
      </c>
      <c r="E342" s="258">
        <f>0</f>
        <v>0</v>
      </c>
      <c r="F342" s="258">
        <f>C342*I244+D342*J244+E342*K244</f>
        <v>1.0467233918897678E-5</v>
      </c>
      <c r="G342" s="258">
        <f>((C342*(1-I244))-(D342*J244)+(E342*(1-K244)))*F244*G244</f>
        <v>7.3417263468347368E-7</v>
      </c>
      <c r="H342" s="261">
        <f t="shared" si="29"/>
        <v>0.94781499999999996</v>
      </c>
      <c r="I342" s="258">
        <f>G342*(1-H342)*(1-E244)</f>
        <v>3.4481519046861396E-8</v>
      </c>
      <c r="J342" s="261">
        <v>0</v>
      </c>
      <c r="K342" s="258">
        <f>G342*(1-J342)*(1-E244)</f>
        <v>6.6075537121512634E-7</v>
      </c>
    </row>
    <row r="343" spans="2:11" hidden="1" x14ac:dyDescent="0.25">
      <c r="B343" s="257">
        <v>97</v>
      </c>
      <c r="C343" s="258">
        <f t="shared" si="28"/>
        <v>1.0467233918897678E-5</v>
      </c>
      <c r="D343" s="258">
        <f t="shared" si="30"/>
        <v>0</v>
      </c>
      <c r="E343" s="258">
        <f>0</f>
        <v>0</v>
      </c>
      <c r="F343" s="258">
        <f>C343*I244+D343*J244+E343*K244</f>
        <v>9.47080895803686E-6</v>
      </c>
      <c r="G343" s="258">
        <f>((C343*(1-I244))-(D343*J244)+(E343*(1-K244)))*F244*G244</f>
        <v>6.6428330724054544E-7</v>
      </c>
      <c r="H343" s="261">
        <f t="shared" si="29"/>
        <v>0.94781499999999996</v>
      </c>
      <c r="I343" s="258">
        <f>G343*(1-H343)*(1-E244)</f>
        <v>3.1199061949513104E-8</v>
      </c>
      <c r="J343" s="261">
        <v>0</v>
      </c>
      <c r="K343" s="258">
        <f>G343*(1-J343)*(1-E244)</f>
        <v>5.9785497651649091E-7</v>
      </c>
    </row>
    <row r="344" spans="2:11" hidden="1" x14ac:dyDescent="0.25">
      <c r="B344" s="257">
        <v>98</v>
      </c>
      <c r="C344" s="258">
        <f t="shared" si="28"/>
        <v>9.47080895803686E-6</v>
      </c>
      <c r="D344" s="258">
        <f t="shared" si="30"/>
        <v>0</v>
      </c>
      <c r="E344" s="258">
        <f>0</f>
        <v>0</v>
      </c>
      <c r="F344" s="258">
        <f>C344*I244+D344*J244+E344*K244</f>
        <v>8.5692383503241024E-6</v>
      </c>
      <c r="G344" s="258">
        <f>((C344*(1-I244))-(D344*J244)+(E344*(1-K244)))*F244*G244</f>
        <v>6.0104707180850482E-7</v>
      </c>
      <c r="H344" s="261">
        <f t="shared" si="29"/>
        <v>0.94781499999999996</v>
      </c>
      <c r="I344" s="258">
        <f>G344*(1-H344)*(1-E244)</f>
        <v>2.822907729809416E-8</v>
      </c>
      <c r="J344" s="261">
        <v>0</v>
      </c>
      <c r="K344" s="258">
        <f>G344*(1-J344)*(1-E244)</f>
        <v>5.409423646276544E-7</v>
      </c>
    </row>
    <row r="345" spans="2:11" hidden="1" x14ac:dyDescent="0.25">
      <c r="B345" s="257">
        <v>99</v>
      </c>
      <c r="C345" s="258">
        <f t="shared" si="28"/>
        <v>8.5692383503241024E-6</v>
      </c>
      <c r="D345" s="258">
        <f t="shared" si="30"/>
        <v>0</v>
      </c>
      <c r="E345" s="258">
        <f>0</f>
        <v>0</v>
      </c>
      <c r="F345" s="258">
        <f>C345*I244+D345*J244+E345*K244</f>
        <v>7.7534924661690711E-6</v>
      </c>
      <c r="G345" s="258">
        <f>((C345*(1-I244))-(D345*J244)+(E345*(1-K244)))*F244*G244</f>
        <v>5.4383058943668729E-7</v>
      </c>
      <c r="H345" s="261">
        <f t="shared" si="29"/>
        <v>0.94781499999999996</v>
      </c>
      <c r="I345" s="258">
        <f>G345*(1-H345)*(1-E244)</f>
        <v>2.5541819378778192E-8</v>
      </c>
      <c r="J345" s="261">
        <v>0</v>
      </c>
      <c r="K345" s="258">
        <f>G345*(1-J345)*(1-E244)</f>
        <v>4.8944753049301856E-7</v>
      </c>
    </row>
    <row r="346" spans="2:11" x14ac:dyDescent="0.25">
      <c r="B346" s="262">
        <v>100</v>
      </c>
      <c r="C346" s="263">
        <f t="shared" si="28"/>
        <v>7.7534924661690711E-6</v>
      </c>
      <c r="D346" s="263">
        <f t="shared" si="30"/>
        <v>0</v>
      </c>
      <c r="E346" s="263">
        <f>0</f>
        <v>0</v>
      </c>
      <c r="F346" s="263">
        <f>C346*I244+D346*J244+E346*K244</f>
        <v>7.0154012486613634E-6</v>
      </c>
      <c r="G346" s="258">
        <f>((C346*(1-I244))-(D346*J244)+(E346*(1-K244)))*F244*G244</f>
        <v>4.9206081167180529E-7</v>
      </c>
      <c r="H346" s="261">
        <f t="shared" si="29"/>
        <v>0.94781499999999996</v>
      </c>
      <c r="I346" s="263">
        <f>G346*(1-H346)*(1-E244)</f>
        <v>2.311037411138386E-8</v>
      </c>
      <c r="J346" s="261">
        <v>0</v>
      </c>
      <c r="K346" s="258">
        <f>G346*(1-J346)*(1-E244)</f>
        <v>4.4285473050462478E-7</v>
      </c>
    </row>
    <row r="347" spans="2:11" x14ac:dyDescent="0.25">
      <c r="B347" s="463" t="s">
        <v>148</v>
      </c>
      <c r="C347" s="463"/>
      <c r="D347" s="463"/>
      <c r="E347" s="463"/>
      <c r="F347" s="463"/>
      <c r="G347" s="265">
        <f>SUM(G247:G346)</f>
        <v>9.3497276690406625E-2</v>
      </c>
      <c r="H347" s="266"/>
      <c r="I347" s="268">
        <f>SUM(I247:I346)</f>
        <v>2.2134404265090592E-2</v>
      </c>
      <c r="J347" s="266"/>
      <c r="K347" s="265">
        <f>SUM(K247:K346)</f>
        <v>2.6950457232807309E-2</v>
      </c>
    </row>
    <row r="348" spans="2:11" ht="50.1" customHeight="1" x14ac:dyDescent="0.25"/>
    <row r="349" spans="2:11" ht="18.75" x14ac:dyDescent="0.25">
      <c r="B349" s="456" t="s">
        <v>151</v>
      </c>
      <c r="C349" s="457"/>
      <c r="D349" s="457"/>
      <c r="E349" s="457"/>
      <c r="F349" s="457"/>
      <c r="G349" s="457"/>
      <c r="H349" s="457"/>
      <c r="I349" s="457"/>
      <c r="J349" s="457"/>
      <c r="K349" s="458"/>
    </row>
    <row r="350" spans="2:11" ht="30" x14ac:dyDescent="0.25">
      <c r="B350" s="205"/>
      <c r="C350" s="205" t="s">
        <v>224</v>
      </c>
      <c r="D350" s="205" t="s">
        <v>136</v>
      </c>
      <c r="E350" s="205" t="s">
        <v>137</v>
      </c>
      <c r="F350" s="205" t="s">
        <v>324</v>
      </c>
      <c r="G350" s="205" t="s">
        <v>325</v>
      </c>
      <c r="H350" s="205" t="s">
        <v>138</v>
      </c>
      <c r="I350" s="205" t="s">
        <v>139</v>
      </c>
      <c r="J350" s="205" t="s">
        <v>140</v>
      </c>
      <c r="K350" s="205" t="s">
        <v>141</v>
      </c>
    </row>
    <row r="351" spans="2:11" x14ac:dyDescent="0.25">
      <c r="B351" s="206"/>
      <c r="C351" s="253">
        <f>SiteSpecificInputs!C32*SiteSpecificInputs!C33*T2MT</f>
        <v>0</v>
      </c>
      <c r="D351" s="253">
        <f>SiteSpecificInputs!C34</f>
        <v>0</v>
      </c>
      <c r="E351" s="254">
        <v>0.1</v>
      </c>
      <c r="F351" s="254">
        <v>0.5</v>
      </c>
      <c r="G351" s="255">
        <f>Background!E13/Background!E12</f>
        <v>1.3333333333333333</v>
      </c>
      <c r="H351" s="256">
        <v>6</v>
      </c>
      <c r="I351" s="255">
        <f>EXP(-D351)</f>
        <v>1</v>
      </c>
      <c r="J351" s="255" t="e">
        <f>((1/D351)*(EXP(-(D351*(1-H351/12)))-EXP(-D351))-((H351/12)*EXP(-D351)))</f>
        <v>#DIV/0!</v>
      </c>
      <c r="K351" s="255" t="e">
        <f>((1/D351)*(1-EXP(-(D351*(1-H351/12))))+(H351/12))</f>
        <v>#DIV/0!</v>
      </c>
    </row>
    <row r="352" spans="2:11" x14ac:dyDescent="0.25">
      <c r="B352" s="464" t="s">
        <v>142</v>
      </c>
      <c r="C352" s="465"/>
      <c r="D352" s="465"/>
      <c r="E352" s="465"/>
      <c r="F352" s="465"/>
      <c r="G352" s="466"/>
      <c r="H352" s="464" t="s">
        <v>126</v>
      </c>
      <c r="I352" s="466"/>
      <c r="J352" s="464" t="s">
        <v>127</v>
      </c>
      <c r="K352" s="466"/>
    </row>
    <row r="353" spans="2:11" x14ac:dyDescent="0.25">
      <c r="B353" s="205" t="s">
        <v>125</v>
      </c>
      <c r="C353" s="205" t="s">
        <v>143</v>
      </c>
      <c r="D353" s="205" t="s">
        <v>144</v>
      </c>
      <c r="E353" s="205" t="s">
        <v>145</v>
      </c>
      <c r="F353" s="205" t="s">
        <v>146</v>
      </c>
      <c r="G353" s="205" t="s">
        <v>225</v>
      </c>
      <c r="H353" s="251" t="s">
        <v>147</v>
      </c>
      <c r="I353" s="251" t="s">
        <v>226</v>
      </c>
      <c r="J353" s="205" t="s">
        <v>147</v>
      </c>
      <c r="K353" s="205" t="s">
        <v>226</v>
      </c>
    </row>
    <row r="354" spans="2:11" x14ac:dyDescent="0.25">
      <c r="B354" s="257">
        <v>1</v>
      </c>
      <c r="C354" s="258">
        <v>0</v>
      </c>
      <c r="D354" s="258">
        <v>0</v>
      </c>
      <c r="E354" s="258">
        <f>C351</f>
        <v>0</v>
      </c>
      <c r="F354" s="258" t="e">
        <f>C354*I351+D354*J351+E354*K351</f>
        <v>#DIV/0!</v>
      </c>
      <c r="G354" s="258" t="e">
        <f>((C354*(1-I351))-(D354*J351)+(E354*(1-K351)))*F351*G351</f>
        <v>#DIV/0!</v>
      </c>
      <c r="H354" s="259">
        <v>0</v>
      </c>
      <c r="I354" s="260" t="e">
        <f>G354*(1-H354)*(1-E351)</f>
        <v>#DIV/0!</v>
      </c>
      <c r="J354" s="261">
        <v>0</v>
      </c>
      <c r="K354" s="258" t="e">
        <f>G354*(1-J354)*(1-E351)</f>
        <v>#DIV/0!</v>
      </c>
    </row>
    <row r="355" spans="2:11" x14ac:dyDescent="0.25">
      <c r="B355" s="257">
        <v>2</v>
      </c>
      <c r="C355" s="258" t="e">
        <f t="shared" ref="C355:C418" si="31">F354</f>
        <v>#DIV/0!</v>
      </c>
      <c r="D355" s="258">
        <f>E354</f>
        <v>0</v>
      </c>
      <c r="E355" s="258">
        <f>0</f>
        <v>0</v>
      </c>
      <c r="F355" s="258" t="e">
        <f>C355*I351+D355*J351+E355*K351</f>
        <v>#DIV/0!</v>
      </c>
      <c r="G355" s="258" t="e">
        <f>((C355*(1-I351))-(D355*J351)+(E355*(1-K351)))*F351*G351</f>
        <v>#DIV/0!</v>
      </c>
      <c r="H355" s="261">
        <v>0</v>
      </c>
      <c r="I355" s="258" t="e">
        <f>G355*(1-H355)*(1-E351)</f>
        <v>#DIV/0!</v>
      </c>
      <c r="J355" s="261">
        <v>0</v>
      </c>
      <c r="K355" s="258" t="e">
        <f>G355*(1-J355)*(1-E351)</f>
        <v>#DIV/0!</v>
      </c>
    </row>
    <row r="356" spans="2:11" x14ac:dyDescent="0.25">
      <c r="B356" s="257">
        <v>3</v>
      </c>
      <c r="C356" s="258" t="e">
        <f t="shared" si="31"/>
        <v>#DIV/0!</v>
      </c>
      <c r="D356" s="258">
        <f t="shared" ref="D356:D371" si="32">E355</f>
        <v>0</v>
      </c>
      <c r="E356" s="258">
        <f>0</f>
        <v>0</v>
      </c>
      <c r="F356" s="258" t="e">
        <f>C356*I351+D356*J351+E356*K351</f>
        <v>#DIV/0!</v>
      </c>
      <c r="G356" s="258" t="e">
        <f>((C356*(1-I351))-(D356*J351)+(E356*(1-K351)))*F351*G351</f>
        <v>#DIV/0!</v>
      </c>
      <c r="H356" s="261">
        <f>0.5*0.9977</f>
        <v>0.49885000000000002</v>
      </c>
      <c r="I356" s="258" t="e">
        <f>G356*(1-H356)*(1-E351)</f>
        <v>#DIV/0!</v>
      </c>
      <c r="J356" s="261">
        <f>0.5*0.9977</f>
        <v>0.49885000000000002</v>
      </c>
      <c r="K356" s="258" t="e">
        <f>G356*(1-J356)*(1-E351)</f>
        <v>#DIV/0!</v>
      </c>
    </row>
    <row r="357" spans="2:11" hidden="1" x14ac:dyDescent="0.25">
      <c r="B357" s="257">
        <v>4</v>
      </c>
      <c r="C357" s="258" t="e">
        <f t="shared" si="31"/>
        <v>#DIV/0!</v>
      </c>
      <c r="D357" s="258">
        <f t="shared" si="32"/>
        <v>0</v>
      </c>
      <c r="E357" s="258">
        <f>0</f>
        <v>0</v>
      </c>
      <c r="F357" s="258" t="e">
        <f>C357*I351+D357*J351+E357*K351</f>
        <v>#DIV/0!</v>
      </c>
      <c r="G357" s="258" t="e">
        <f>((C357*(1-I351))-(D357*J351)+(E357*(1-K351)))*F351*G351</f>
        <v>#DIV/0!</v>
      </c>
      <c r="H357" s="261">
        <f t="shared" ref="H357:H363" si="33">0.75*0.9977</f>
        <v>0.74827500000000002</v>
      </c>
      <c r="I357" s="258" t="e">
        <f>G357*(1-H357)*(1-E351)</f>
        <v>#DIV/0!</v>
      </c>
      <c r="J357" s="261">
        <f>0.7*0.9977</f>
        <v>0.69838999999999996</v>
      </c>
      <c r="K357" s="258" t="e">
        <f>G357*(1-J357)*(1-E351)</f>
        <v>#DIV/0!</v>
      </c>
    </row>
    <row r="358" spans="2:11" hidden="1" x14ac:dyDescent="0.25">
      <c r="B358" s="257">
        <v>5</v>
      </c>
      <c r="C358" s="258" t="e">
        <f t="shared" si="31"/>
        <v>#DIV/0!</v>
      </c>
      <c r="D358" s="258">
        <f t="shared" si="32"/>
        <v>0</v>
      </c>
      <c r="E358" s="258">
        <f>0</f>
        <v>0</v>
      </c>
      <c r="F358" s="258" t="e">
        <f>C358*I351+D358*J351+E358*K351</f>
        <v>#DIV/0!</v>
      </c>
      <c r="G358" s="258" t="e">
        <f>((C358*(1-I351))-(D358*J351)+(E358*(1-K351)))*F351*G351</f>
        <v>#DIV/0!</v>
      </c>
      <c r="H358" s="261">
        <f t="shared" si="33"/>
        <v>0.74827500000000002</v>
      </c>
      <c r="I358" s="258" t="e">
        <f>G358*(1-H358)*(1-E351)</f>
        <v>#DIV/0!</v>
      </c>
      <c r="J358" s="261">
        <f>0.7*0.9977</f>
        <v>0.69838999999999996</v>
      </c>
      <c r="K358" s="258" t="e">
        <f>G358*(1-J358)*(1-E351)</f>
        <v>#DIV/0!</v>
      </c>
    </row>
    <row r="359" spans="2:11" hidden="1" x14ac:dyDescent="0.25">
      <c r="B359" s="257">
        <v>6</v>
      </c>
      <c r="C359" s="258" t="e">
        <f t="shared" si="31"/>
        <v>#DIV/0!</v>
      </c>
      <c r="D359" s="258">
        <f t="shared" si="32"/>
        <v>0</v>
      </c>
      <c r="E359" s="258">
        <f>0</f>
        <v>0</v>
      </c>
      <c r="F359" s="258" t="e">
        <f>C359*I351+D359*J351+E359*K351</f>
        <v>#DIV/0!</v>
      </c>
      <c r="G359" s="258" t="e">
        <f>((C359*(1-I351))-(D359*J351)+(E359*(1-K351)))*F351*G351</f>
        <v>#DIV/0!</v>
      </c>
      <c r="H359" s="261">
        <f t="shared" si="33"/>
        <v>0.74827500000000002</v>
      </c>
      <c r="I359" s="258" t="e">
        <f>G359*(1-H359)*(1-E351)</f>
        <v>#DIV/0!</v>
      </c>
      <c r="J359" s="261">
        <f t="shared" ref="J359:J413" si="34">0.8*0.9977</f>
        <v>0.79816000000000009</v>
      </c>
      <c r="K359" s="258" t="e">
        <f>G359*(1-J359)*(1-E351)</f>
        <v>#DIV/0!</v>
      </c>
    </row>
    <row r="360" spans="2:11" hidden="1" x14ac:dyDescent="0.25">
      <c r="B360" s="257">
        <v>7</v>
      </c>
      <c r="C360" s="258" t="e">
        <f t="shared" si="31"/>
        <v>#DIV/0!</v>
      </c>
      <c r="D360" s="258">
        <f t="shared" si="32"/>
        <v>0</v>
      </c>
      <c r="E360" s="258">
        <f>0</f>
        <v>0</v>
      </c>
      <c r="F360" s="258" t="e">
        <f>C360*I351+D360*J351+E360*K351</f>
        <v>#DIV/0!</v>
      </c>
      <c r="G360" s="258" t="e">
        <f>((C360*(1-I351))-(D360*J351)+(E360*(1-K351)))*F351*G351</f>
        <v>#DIV/0!</v>
      </c>
      <c r="H360" s="261">
        <f t="shared" si="33"/>
        <v>0.74827500000000002</v>
      </c>
      <c r="I360" s="258" t="e">
        <f>G360*(1-H360)*(1-E351)</f>
        <v>#DIV/0!</v>
      </c>
      <c r="J360" s="261">
        <f t="shared" si="34"/>
        <v>0.79816000000000009</v>
      </c>
      <c r="K360" s="258" t="e">
        <f>G360*(1-J360)*(1-E351)</f>
        <v>#DIV/0!</v>
      </c>
    </row>
    <row r="361" spans="2:11" hidden="1" x14ac:dyDescent="0.25">
      <c r="B361" s="257">
        <v>8</v>
      </c>
      <c r="C361" s="258" t="e">
        <f t="shared" si="31"/>
        <v>#DIV/0!</v>
      </c>
      <c r="D361" s="258">
        <f t="shared" si="32"/>
        <v>0</v>
      </c>
      <c r="E361" s="258">
        <f>0</f>
        <v>0</v>
      </c>
      <c r="F361" s="258" t="e">
        <f>C361*I351+D361*J351+E361*K351</f>
        <v>#DIV/0!</v>
      </c>
      <c r="G361" s="258" t="e">
        <f>((C361*(1-I351))-(D361*J351)+(E361*(1-K351)))*F351*G351</f>
        <v>#DIV/0!</v>
      </c>
      <c r="H361" s="261">
        <f t="shared" si="33"/>
        <v>0.74827500000000002</v>
      </c>
      <c r="I361" s="258" t="e">
        <f>G361*(1-H361)*(1-E351)</f>
        <v>#DIV/0!</v>
      </c>
      <c r="J361" s="261">
        <f t="shared" si="34"/>
        <v>0.79816000000000009</v>
      </c>
      <c r="K361" s="258" t="e">
        <f>G361*(1-J361)*(1-E351)</f>
        <v>#DIV/0!</v>
      </c>
    </row>
    <row r="362" spans="2:11" hidden="1" x14ac:dyDescent="0.25">
      <c r="B362" s="257">
        <v>9</v>
      </c>
      <c r="C362" s="258" t="e">
        <f t="shared" si="31"/>
        <v>#DIV/0!</v>
      </c>
      <c r="D362" s="258">
        <f t="shared" si="32"/>
        <v>0</v>
      </c>
      <c r="E362" s="258">
        <f>0</f>
        <v>0</v>
      </c>
      <c r="F362" s="258" t="e">
        <f>C362*I351+D362*J351+E362*K351</f>
        <v>#DIV/0!</v>
      </c>
      <c r="G362" s="258" t="e">
        <f>((C362*(1-I351))-(D362*J351)+(E362*(1-K351)))*F351*G351</f>
        <v>#DIV/0!</v>
      </c>
      <c r="H362" s="261">
        <f t="shared" si="33"/>
        <v>0.74827500000000002</v>
      </c>
      <c r="I362" s="258" t="e">
        <f>G362*(1-H362)*(1-E351)</f>
        <v>#DIV/0!</v>
      </c>
      <c r="J362" s="261">
        <f t="shared" si="34"/>
        <v>0.79816000000000009</v>
      </c>
      <c r="K362" s="258" t="e">
        <f>G362*(1-J362)*(1-E351)</f>
        <v>#DIV/0!</v>
      </c>
    </row>
    <row r="363" spans="2:11" hidden="1" x14ac:dyDescent="0.25">
      <c r="B363" s="257">
        <v>10</v>
      </c>
      <c r="C363" s="258" t="e">
        <f t="shared" si="31"/>
        <v>#DIV/0!</v>
      </c>
      <c r="D363" s="258">
        <f t="shared" si="32"/>
        <v>0</v>
      </c>
      <c r="E363" s="258">
        <f>0</f>
        <v>0</v>
      </c>
      <c r="F363" s="258" t="e">
        <f>C363*I351+D363*J351+E363*K351</f>
        <v>#DIV/0!</v>
      </c>
      <c r="G363" s="258" t="e">
        <f>((C363*(1-I351))-(D363*J351)+(E363*(1-K351)))*F351*G351</f>
        <v>#DIV/0!</v>
      </c>
      <c r="H363" s="261">
        <f t="shared" si="33"/>
        <v>0.74827500000000002</v>
      </c>
      <c r="I363" s="258" t="e">
        <f>G363*(1-H363)*(1-E351)</f>
        <v>#DIV/0!</v>
      </c>
      <c r="J363" s="261">
        <f t="shared" si="34"/>
        <v>0.79816000000000009</v>
      </c>
      <c r="K363" s="258" t="e">
        <f>G363*(1-J363)*(1-E351)</f>
        <v>#DIV/0!</v>
      </c>
    </row>
    <row r="364" spans="2:11" hidden="1" x14ac:dyDescent="0.25">
      <c r="B364" s="257">
        <v>11</v>
      </c>
      <c r="C364" s="258" t="e">
        <f t="shared" si="31"/>
        <v>#DIV/0!</v>
      </c>
      <c r="D364" s="258">
        <f t="shared" si="32"/>
        <v>0</v>
      </c>
      <c r="E364" s="258">
        <f>0</f>
        <v>0</v>
      </c>
      <c r="F364" s="258" t="e">
        <f>C364*I351+D364*J351+E364*K351</f>
        <v>#DIV/0!</v>
      </c>
      <c r="G364" s="258" t="e">
        <f>((C364*(1-I351))-(D364*J351)+(E364*(1-K351)))*F351*G351</f>
        <v>#DIV/0!</v>
      </c>
      <c r="H364" s="261">
        <f t="shared" ref="H364:H427" si="35">0.95*0.9977</f>
        <v>0.94781499999999996</v>
      </c>
      <c r="I364" s="258" t="e">
        <f>G364*(1-H364)*(1-E351)</f>
        <v>#DIV/0!</v>
      </c>
      <c r="J364" s="261">
        <f t="shared" si="34"/>
        <v>0.79816000000000009</v>
      </c>
      <c r="K364" s="258" t="e">
        <f>G364*(1-J364)*(1-E351)</f>
        <v>#DIV/0!</v>
      </c>
    </row>
    <row r="365" spans="2:11" hidden="1" x14ac:dyDescent="0.25">
      <c r="B365" s="257">
        <v>12</v>
      </c>
      <c r="C365" s="258" t="e">
        <f t="shared" si="31"/>
        <v>#DIV/0!</v>
      </c>
      <c r="D365" s="258">
        <f t="shared" si="32"/>
        <v>0</v>
      </c>
      <c r="E365" s="258">
        <f>0</f>
        <v>0</v>
      </c>
      <c r="F365" s="258" t="e">
        <f>C365*I351+D365*J351+E365*K351</f>
        <v>#DIV/0!</v>
      </c>
      <c r="G365" s="258" t="e">
        <f>((C365*(1-I351))-(D365*J351)+(E365*(1-K351)))*F351*G351</f>
        <v>#DIV/0!</v>
      </c>
      <c r="H365" s="261">
        <f t="shared" si="35"/>
        <v>0.94781499999999996</v>
      </c>
      <c r="I365" s="258" t="e">
        <f>G365*(1-H365)*(1-E351)</f>
        <v>#DIV/0!</v>
      </c>
      <c r="J365" s="261">
        <f t="shared" si="34"/>
        <v>0.79816000000000009</v>
      </c>
      <c r="K365" s="258" t="e">
        <f>G365*(1-J365)*(1-E351)</f>
        <v>#DIV/0!</v>
      </c>
    </row>
    <row r="366" spans="2:11" hidden="1" x14ac:dyDescent="0.25">
      <c r="B366" s="257">
        <v>13</v>
      </c>
      <c r="C366" s="258" t="e">
        <f t="shared" si="31"/>
        <v>#DIV/0!</v>
      </c>
      <c r="D366" s="258">
        <f t="shared" si="32"/>
        <v>0</v>
      </c>
      <c r="E366" s="258">
        <f>0</f>
        <v>0</v>
      </c>
      <c r="F366" s="258" t="e">
        <f>C366*I351+D366*J351+E366*K351</f>
        <v>#DIV/0!</v>
      </c>
      <c r="G366" s="258" t="e">
        <f>((C366*(1-I351))-(D366*J351)+(E366*(1-K351)))*F351*G351</f>
        <v>#DIV/0!</v>
      </c>
      <c r="H366" s="261">
        <f t="shared" si="35"/>
        <v>0.94781499999999996</v>
      </c>
      <c r="I366" s="258" t="e">
        <f>G366*(1-H366)*(1-E351)</f>
        <v>#DIV/0!</v>
      </c>
      <c r="J366" s="261">
        <f t="shared" si="34"/>
        <v>0.79816000000000009</v>
      </c>
      <c r="K366" s="258" t="e">
        <f>G366*(1-J366)*(1-E351)</f>
        <v>#DIV/0!</v>
      </c>
    </row>
    <row r="367" spans="2:11" hidden="1" x14ac:dyDescent="0.25">
      <c r="B367" s="257">
        <v>14</v>
      </c>
      <c r="C367" s="258" t="e">
        <f t="shared" si="31"/>
        <v>#DIV/0!</v>
      </c>
      <c r="D367" s="258">
        <f t="shared" si="32"/>
        <v>0</v>
      </c>
      <c r="E367" s="258">
        <f>0</f>
        <v>0</v>
      </c>
      <c r="F367" s="258" t="e">
        <f>C367*I351+D367*J351+E367*K351</f>
        <v>#DIV/0!</v>
      </c>
      <c r="G367" s="258" t="e">
        <f>((C367*(1-I351))-(D367*J351)+(E367*(1-K351)))*F351*G351</f>
        <v>#DIV/0!</v>
      </c>
      <c r="H367" s="261">
        <f t="shared" si="35"/>
        <v>0.94781499999999996</v>
      </c>
      <c r="I367" s="258" t="e">
        <f>G367*(1-H367)*(1-E351)</f>
        <v>#DIV/0!</v>
      </c>
      <c r="J367" s="261">
        <f t="shared" si="34"/>
        <v>0.79816000000000009</v>
      </c>
      <c r="K367" s="258" t="e">
        <f>G367*(1-J367)*(1-E351)</f>
        <v>#DIV/0!</v>
      </c>
    </row>
    <row r="368" spans="2:11" hidden="1" x14ac:dyDescent="0.25">
      <c r="B368" s="257">
        <v>15</v>
      </c>
      <c r="C368" s="258" t="e">
        <f t="shared" si="31"/>
        <v>#DIV/0!</v>
      </c>
      <c r="D368" s="258">
        <f t="shared" si="32"/>
        <v>0</v>
      </c>
      <c r="E368" s="258">
        <f>0</f>
        <v>0</v>
      </c>
      <c r="F368" s="258" t="e">
        <f>C368*I351+D368*J351+E368*K351</f>
        <v>#DIV/0!</v>
      </c>
      <c r="G368" s="258" t="e">
        <f>((C368*(1-I351))-(D368*J351)+(E368*(1-K351)))*F351*G351</f>
        <v>#DIV/0!</v>
      </c>
      <c r="H368" s="261">
        <f t="shared" si="35"/>
        <v>0.94781499999999996</v>
      </c>
      <c r="I368" s="258" t="e">
        <f>G368*(1-H368)*(1-E351)</f>
        <v>#DIV/0!</v>
      </c>
      <c r="J368" s="261">
        <f t="shared" si="34"/>
        <v>0.79816000000000009</v>
      </c>
      <c r="K368" s="258" t="e">
        <f>G368*(1-J368)*(1-E351)</f>
        <v>#DIV/0!</v>
      </c>
    </row>
    <row r="369" spans="2:11" hidden="1" x14ac:dyDescent="0.25">
      <c r="B369" s="257">
        <v>16</v>
      </c>
      <c r="C369" s="258" t="e">
        <f t="shared" si="31"/>
        <v>#DIV/0!</v>
      </c>
      <c r="D369" s="258">
        <f t="shared" si="32"/>
        <v>0</v>
      </c>
      <c r="E369" s="258">
        <f>0</f>
        <v>0</v>
      </c>
      <c r="F369" s="258" t="e">
        <f>C369*I351+D369*J351+E369*K351</f>
        <v>#DIV/0!</v>
      </c>
      <c r="G369" s="258" t="e">
        <f>((C369*(1-I351))-(D369*J351)+(E369*(1-K351)))*F351*G351</f>
        <v>#DIV/0!</v>
      </c>
      <c r="H369" s="261">
        <f t="shared" si="35"/>
        <v>0.94781499999999996</v>
      </c>
      <c r="I369" s="258" t="e">
        <f>G369*(1-H369)*(1-E351)</f>
        <v>#DIV/0!</v>
      </c>
      <c r="J369" s="261">
        <f t="shared" si="34"/>
        <v>0.79816000000000009</v>
      </c>
      <c r="K369" s="258" t="e">
        <f>G369*(1-J369)*(1-E351)</f>
        <v>#DIV/0!</v>
      </c>
    </row>
    <row r="370" spans="2:11" hidden="1" x14ac:dyDescent="0.25">
      <c r="B370" s="257">
        <v>17</v>
      </c>
      <c r="C370" s="258" t="e">
        <f t="shared" si="31"/>
        <v>#DIV/0!</v>
      </c>
      <c r="D370" s="258">
        <f t="shared" si="32"/>
        <v>0</v>
      </c>
      <c r="E370" s="258">
        <f>0</f>
        <v>0</v>
      </c>
      <c r="F370" s="258" t="e">
        <f>C370*I351+D370*J351+E370*K351</f>
        <v>#DIV/0!</v>
      </c>
      <c r="G370" s="258" t="e">
        <f>((C370*(1-I351))-(D370*J351)+(E370*(1-K351)))*F351*G351</f>
        <v>#DIV/0!</v>
      </c>
      <c r="H370" s="261">
        <f t="shared" si="35"/>
        <v>0.94781499999999996</v>
      </c>
      <c r="I370" s="258" t="e">
        <f>G370*(1-H370)*(1-E351)</f>
        <v>#DIV/0!</v>
      </c>
      <c r="J370" s="261">
        <f t="shared" si="34"/>
        <v>0.79816000000000009</v>
      </c>
      <c r="K370" s="258" t="e">
        <f>G370*(1-J370)*(1-E351)</f>
        <v>#DIV/0!</v>
      </c>
    </row>
    <row r="371" spans="2:11" hidden="1" x14ac:dyDescent="0.25">
      <c r="B371" s="257">
        <v>18</v>
      </c>
      <c r="C371" s="258" t="e">
        <f t="shared" si="31"/>
        <v>#DIV/0!</v>
      </c>
      <c r="D371" s="258">
        <f t="shared" si="32"/>
        <v>0</v>
      </c>
      <c r="E371" s="258">
        <f>0</f>
        <v>0</v>
      </c>
      <c r="F371" s="258" t="e">
        <f>C371*I351+D371*J351+E371*K351</f>
        <v>#DIV/0!</v>
      </c>
      <c r="G371" s="258" t="e">
        <f>((C371*(1-I351))-(D371*J351)+(E371*(1-K351)))*F351*G351</f>
        <v>#DIV/0!</v>
      </c>
      <c r="H371" s="261">
        <f t="shared" si="35"/>
        <v>0.94781499999999996</v>
      </c>
      <c r="I371" s="258" t="e">
        <f>G371*(1-H371)*(1-E351)</f>
        <v>#DIV/0!</v>
      </c>
      <c r="J371" s="261">
        <f t="shared" si="34"/>
        <v>0.79816000000000009</v>
      </c>
      <c r="K371" s="258" t="e">
        <f>G371*(1-J371)*(1-E351)</f>
        <v>#DIV/0!</v>
      </c>
    </row>
    <row r="372" spans="2:11" hidden="1" x14ac:dyDescent="0.25">
      <c r="B372" s="257">
        <v>19</v>
      </c>
      <c r="C372" s="258" t="e">
        <f t="shared" si="31"/>
        <v>#DIV/0!</v>
      </c>
      <c r="D372" s="258">
        <f>E371</f>
        <v>0</v>
      </c>
      <c r="E372" s="258">
        <f>0</f>
        <v>0</v>
      </c>
      <c r="F372" s="258" t="e">
        <f>C372*I351+D372*J351+E372*K351</f>
        <v>#DIV/0!</v>
      </c>
      <c r="G372" s="258" t="e">
        <f>((C372*(1-I351))-(D372*J351)+(E372*(1-K351)))*F351*G351</f>
        <v>#DIV/0!</v>
      </c>
      <c r="H372" s="261">
        <f t="shared" si="35"/>
        <v>0.94781499999999996</v>
      </c>
      <c r="I372" s="258" t="e">
        <f>G372*(1-H372)*(1-E351)</f>
        <v>#DIV/0!</v>
      </c>
      <c r="J372" s="261">
        <f t="shared" si="34"/>
        <v>0.79816000000000009</v>
      </c>
      <c r="K372" s="258" t="e">
        <f>G372*(1-J372)*(1-E351)</f>
        <v>#DIV/0!</v>
      </c>
    </row>
    <row r="373" spans="2:11" hidden="1" x14ac:dyDescent="0.25">
      <c r="B373" s="257">
        <v>20</v>
      </c>
      <c r="C373" s="258" t="e">
        <f t="shared" si="31"/>
        <v>#DIV/0!</v>
      </c>
      <c r="D373" s="258">
        <f t="shared" ref="D373:D436" si="36">E372</f>
        <v>0</v>
      </c>
      <c r="E373" s="258">
        <f>0</f>
        <v>0</v>
      </c>
      <c r="F373" s="258" t="e">
        <f>C373*I351+D373*J351+E373*K351</f>
        <v>#DIV/0!</v>
      </c>
      <c r="G373" s="258" t="e">
        <f>((C373*(1-I351))-(D373*J351)+(E373*(1-K351)))*F351*G351</f>
        <v>#DIV/0!</v>
      </c>
      <c r="H373" s="261">
        <f t="shared" si="35"/>
        <v>0.94781499999999996</v>
      </c>
      <c r="I373" s="258" t="e">
        <f>G373*(1-H373)*(1-E351)</f>
        <v>#DIV/0!</v>
      </c>
      <c r="J373" s="261">
        <f t="shared" si="34"/>
        <v>0.79816000000000009</v>
      </c>
      <c r="K373" s="258" t="e">
        <f>G373*(1-J373)*(1-E351)</f>
        <v>#DIV/0!</v>
      </c>
    </row>
    <row r="374" spans="2:11" hidden="1" x14ac:dyDescent="0.25">
      <c r="B374" s="257">
        <v>21</v>
      </c>
      <c r="C374" s="258" t="e">
        <f t="shared" si="31"/>
        <v>#DIV/0!</v>
      </c>
      <c r="D374" s="258">
        <f t="shared" si="36"/>
        <v>0</v>
      </c>
      <c r="E374" s="258">
        <f>0</f>
        <v>0</v>
      </c>
      <c r="F374" s="258" t="e">
        <f>C374*I351+D374*J351+E374*K351</f>
        <v>#DIV/0!</v>
      </c>
      <c r="G374" s="258" t="e">
        <f>((C374*(1-I351))-(D374*J351)+(E374*(1-K351)))*F351*G351</f>
        <v>#DIV/0!</v>
      </c>
      <c r="H374" s="261">
        <f t="shared" si="35"/>
        <v>0.94781499999999996</v>
      </c>
      <c r="I374" s="258" t="e">
        <f>G374*(1-H374)*(1-E351)</f>
        <v>#DIV/0!</v>
      </c>
      <c r="J374" s="261">
        <f t="shared" si="34"/>
        <v>0.79816000000000009</v>
      </c>
      <c r="K374" s="258" t="e">
        <f>G374*(1-J374)*(1-E351)</f>
        <v>#DIV/0!</v>
      </c>
    </row>
    <row r="375" spans="2:11" hidden="1" x14ac:dyDescent="0.25">
      <c r="B375" s="257">
        <v>22</v>
      </c>
      <c r="C375" s="258" t="e">
        <f t="shared" si="31"/>
        <v>#DIV/0!</v>
      </c>
      <c r="D375" s="258">
        <f t="shared" si="36"/>
        <v>0</v>
      </c>
      <c r="E375" s="258">
        <f>0</f>
        <v>0</v>
      </c>
      <c r="F375" s="258" t="e">
        <f>C375*I351+D375*J351+E375*K351</f>
        <v>#DIV/0!</v>
      </c>
      <c r="G375" s="258" t="e">
        <f>((C375*(1-I351))-(D375*J351)+(E375*(1-K351)))*F351*G351</f>
        <v>#DIV/0!</v>
      </c>
      <c r="H375" s="261">
        <f t="shared" si="35"/>
        <v>0.94781499999999996</v>
      </c>
      <c r="I375" s="258" t="e">
        <f>G375*(1-H375)*(1-E351)</f>
        <v>#DIV/0!</v>
      </c>
      <c r="J375" s="261">
        <f t="shared" si="34"/>
        <v>0.79816000000000009</v>
      </c>
      <c r="K375" s="258" t="e">
        <f>G375*(1-J375)*(1-E351)</f>
        <v>#DIV/0!</v>
      </c>
    </row>
    <row r="376" spans="2:11" hidden="1" x14ac:dyDescent="0.25">
      <c r="B376" s="257">
        <v>23</v>
      </c>
      <c r="C376" s="258" t="e">
        <f t="shared" si="31"/>
        <v>#DIV/0!</v>
      </c>
      <c r="D376" s="258">
        <f t="shared" si="36"/>
        <v>0</v>
      </c>
      <c r="E376" s="258">
        <f>0</f>
        <v>0</v>
      </c>
      <c r="F376" s="258" t="e">
        <f>C376*I351+D376*J351+E376*K351</f>
        <v>#DIV/0!</v>
      </c>
      <c r="G376" s="258" t="e">
        <f>((C376*(1-I351))-(D376*J351)+(E376*(1-K351)))*F351*G351</f>
        <v>#DIV/0!</v>
      </c>
      <c r="H376" s="261">
        <f t="shared" si="35"/>
        <v>0.94781499999999996</v>
      </c>
      <c r="I376" s="258" t="e">
        <f>G376*(1-H376)*(1-E351)</f>
        <v>#DIV/0!</v>
      </c>
      <c r="J376" s="261">
        <f t="shared" si="34"/>
        <v>0.79816000000000009</v>
      </c>
      <c r="K376" s="258" t="e">
        <f>G376*(1-J376)*(1-E351)</f>
        <v>#DIV/0!</v>
      </c>
    </row>
    <row r="377" spans="2:11" hidden="1" x14ac:dyDescent="0.25">
      <c r="B377" s="257">
        <v>24</v>
      </c>
      <c r="C377" s="258" t="e">
        <f t="shared" si="31"/>
        <v>#DIV/0!</v>
      </c>
      <c r="D377" s="258">
        <f t="shared" si="36"/>
        <v>0</v>
      </c>
      <c r="E377" s="258">
        <f>0</f>
        <v>0</v>
      </c>
      <c r="F377" s="258" t="e">
        <f>C377*I351+D377*J351+E377*K351</f>
        <v>#DIV/0!</v>
      </c>
      <c r="G377" s="258" t="e">
        <f>((C377*(1-I351))-(D377*J351)+(E377*(1-K351)))*F351*G351</f>
        <v>#DIV/0!</v>
      </c>
      <c r="H377" s="261">
        <f t="shared" si="35"/>
        <v>0.94781499999999996</v>
      </c>
      <c r="I377" s="258" t="e">
        <f>G377*(1-H377)*(1-E351)</f>
        <v>#DIV/0!</v>
      </c>
      <c r="J377" s="261">
        <f t="shared" si="34"/>
        <v>0.79816000000000009</v>
      </c>
      <c r="K377" s="258" t="e">
        <f>G377*(1-J377)*(1-E351)</f>
        <v>#DIV/0!</v>
      </c>
    </row>
    <row r="378" spans="2:11" hidden="1" x14ac:dyDescent="0.25">
      <c r="B378" s="257">
        <v>25</v>
      </c>
      <c r="C378" s="258" t="e">
        <f t="shared" si="31"/>
        <v>#DIV/0!</v>
      </c>
      <c r="D378" s="258">
        <f t="shared" si="36"/>
        <v>0</v>
      </c>
      <c r="E378" s="258">
        <f>0</f>
        <v>0</v>
      </c>
      <c r="F378" s="258" t="e">
        <f>C378*I351+D378*J351+E378*K351</f>
        <v>#DIV/0!</v>
      </c>
      <c r="G378" s="258" t="e">
        <f>((C378*(1-I351))-(D378*J351)+(E378*(1-K351)))*F351*G351</f>
        <v>#DIV/0!</v>
      </c>
      <c r="H378" s="261">
        <f t="shared" si="35"/>
        <v>0.94781499999999996</v>
      </c>
      <c r="I378" s="258" t="e">
        <f>G378*(1-H378)*(1-E351)</f>
        <v>#DIV/0!</v>
      </c>
      <c r="J378" s="261">
        <f t="shared" si="34"/>
        <v>0.79816000000000009</v>
      </c>
      <c r="K378" s="258" t="e">
        <f>G378*(1-J378)*(1-E351)</f>
        <v>#DIV/0!</v>
      </c>
    </row>
    <row r="379" spans="2:11" hidden="1" x14ac:dyDescent="0.25">
      <c r="B379" s="257">
        <v>26</v>
      </c>
      <c r="C379" s="258" t="e">
        <f t="shared" si="31"/>
        <v>#DIV/0!</v>
      </c>
      <c r="D379" s="258">
        <f t="shared" si="36"/>
        <v>0</v>
      </c>
      <c r="E379" s="258">
        <f>0</f>
        <v>0</v>
      </c>
      <c r="F379" s="258" t="e">
        <f>C379*I351+D379*J351+E379*K351</f>
        <v>#DIV/0!</v>
      </c>
      <c r="G379" s="258" t="e">
        <f>((C379*(1-I351))-(D379*J351)+(E379*(1-K351)))*F351*G351</f>
        <v>#DIV/0!</v>
      </c>
      <c r="H379" s="261">
        <f t="shared" si="35"/>
        <v>0.94781499999999996</v>
      </c>
      <c r="I379" s="258" t="e">
        <f>G379*(1-H379)*(1-E351)</f>
        <v>#DIV/0!</v>
      </c>
      <c r="J379" s="261">
        <f t="shared" si="34"/>
        <v>0.79816000000000009</v>
      </c>
      <c r="K379" s="258" t="e">
        <f>G379*(1-J379)*(1-E351)</f>
        <v>#DIV/0!</v>
      </c>
    </row>
    <row r="380" spans="2:11" hidden="1" x14ac:dyDescent="0.25">
      <c r="B380" s="257">
        <v>27</v>
      </c>
      <c r="C380" s="258" t="e">
        <f t="shared" si="31"/>
        <v>#DIV/0!</v>
      </c>
      <c r="D380" s="258">
        <f t="shared" si="36"/>
        <v>0</v>
      </c>
      <c r="E380" s="258">
        <f>0</f>
        <v>0</v>
      </c>
      <c r="F380" s="258" t="e">
        <f>C380*I351+D380*J351+E380*K351</f>
        <v>#DIV/0!</v>
      </c>
      <c r="G380" s="258" t="e">
        <f>((C380*(1-I351))-(D380*J351)+(E380*(1-K351)))*F351*G351</f>
        <v>#DIV/0!</v>
      </c>
      <c r="H380" s="261">
        <f t="shared" si="35"/>
        <v>0.94781499999999996</v>
      </c>
      <c r="I380" s="258" t="e">
        <f>G380*(1-H380)*(1-E351)</f>
        <v>#DIV/0!</v>
      </c>
      <c r="J380" s="261">
        <f t="shared" si="34"/>
        <v>0.79816000000000009</v>
      </c>
      <c r="K380" s="258" t="e">
        <f>G380*(1-J380)*(1-E351)</f>
        <v>#DIV/0!</v>
      </c>
    </row>
    <row r="381" spans="2:11" hidden="1" x14ac:dyDescent="0.25">
      <c r="B381" s="257">
        <v>28</v>
      </c>
      <c r="C381" s="258" t="e">
        <f t="shared" si="31"/>
        <v>#DIV/0!</v>
      </c>
      <c r="D381" s="258">
        <f t="shared" si="36"/>
        <v>0</v>
      </c>
      <c r="E381" s="258">
        <f>0</f>
        <v>0</v>
      </c>
      <c r="F381" s="258" t="e">
        <f>C381*I351+D381*J351+E381*K351</f>
        <v>#DIV/0!</v>
      </c>
      <c r="G381" s="258" t="e">
        <f>((C381*(1-I351))-(D381*J351)+(E381*(1-K351)))*F351*G351</f>
        <v>#DIV/0!</v>
      </c>
      <c r="H381" s="261">
        <f t="shared" si="35"/>
        <v>0.94781499999999996</v>
      </c>
      <c r="I381" s="258" t="e">
        <f>G381*(1-H381)*(1-E351)</f>
        <v>#DIV/0!</v>
      </c>
      <c r="J381" s="261">
        <f t="shared" si="34"/>
        <v>0.79816000000000009</v>
      </c>
      <c r="K381" s="258" t="e">
        <f>G381*(1-J381)*(1-E351)</f>
        <v>#DIV/0!</v>
      </c>
    </row>
    <row r="382" spans="2:11" hidden="1" x14ac:dyDescent="0.25">
      <c r="B382" s="257">
        <v>29</v>
      </c>
      <c r="C382" s="258" t="e">
        <f t="shared" si="31"/>
        <v>#DIV/0!</v>
      </c>
      <c r="D382" s="258">
        <f t="shared" si="36"/>
        <v>0</v>
      </c>
      <c r="E382" s="258">
        <f>0</f>
        <v>0</v>
      </c>
      <c r="F382" s="258" t="e">
        <f>C382*I351+D382*J351+E382*K351</f>
        <v>#DIV/0!</v>
      </c>
      <c r="G382" s="258" t="e">
        <f>((C382*(1-I351))-(D382*J351)+(E382*(1-K351)))*F351*G351</f>
        <v>#DIV/0!</v>
      </c>
      <c r="H382" s="261">
        <f t="shared" si="35"/>
        <v>0.94781499999999996</v>
      </c>
      <c r="I382" s="258" t="e">
        <f>G382*(1-H382)*(1-E351)</f>
        <v>#DIV/0!</v>
      </c>
      <c r="J382" s="261">
        <f t="shared" si="34"/>
        <v>0.79816000000000009</v>
      </c>
      <c r="K382" s="258" t="e">
        <f>G382*(1-J382)*(1-E351)</f>
        <v>#DIV/0!</v>
      </c>
    </row>
    <row r="383" spans="2:11" hidden="1" x14ac:dyDescent="0.25">
      <c r="B383" s="257">
        <v>30</v>
      </c>
      <c r="C383" s="258" t="e">
        <f t="shared" si="31"/>
        <v>#DIV/0!</v>
      </c>
      <c r="D383" s="258">
        <f t="shared" si="36"/>
        <v>0</v>
      </c>
      <c r="E383" s="258">
        <f>0</f>
        <v>0</v>
      </c>
      <c r="F383" s="258" t="e">
        <f>C383*I351+D383*J351+E383*K351</f>
        <v>#DIV/0!</v>
      </c>
      <c r="G383" s="258" t="e">
        <f>((C383*(1-I351))-(D383*J351)+(E383*(1-K351)))*F351*G351</f>
        <v>#DIV/0!</v>
      </c>
      <c r="H383" s="261">
        <f t="shared" si="35"/>
        <v>0.94781499999999996</v>
      </c>
      <c r="I383" s="258" t="e">
        <f>G383*(1-H383)*(1-E351)</f>
        <v>#DIV/0!</v>
      </c>
      <c r="J383" s="261">
        <f t="shared" si="34"/>
        <v>0.79816000000000009</v>
      </c>
      <c r="K383" s="258" t="e">
        <f>G383*(1-J383)*(1-E351)</f>
        <v>#DIV/0!</v>
      </c>
    </row>
    <row r="384" spans="2:11" hidden="1" x14ac:dyDescent="0.25">
      <c r="B384" s="257">
        <v>31</v>
      </c>
      <c r="C384" s="258" t="e">
        <f t="shared" si="31"/>
        <v>#DIV/0!</v>
      </c>
      <c r="D384" s="258">
        <f t="shared" si="36"/>
        <v>0</v>
      </c>
      <c r="E384" s="258">
        <f>0</f>
        <v>0</v>
      </c>
      <c r="F384" s="258" t="e">
        <f>C384*I351+D384*J351+E384*K351</f>
        <v>#DIV/0!</v>
      </c>
      <c r="G384" s="258" t="e">
        <f>((C384*(1-I351))-(D384*J351)+(E384*(1-K351)))*F351*G351</f>
        <v>#DIV/0!</v>
      </c>
      <c r="H384" s="261">
        <f t="shared" si="35"/>
        <v>0.94781499999999996</v>
      </c>
      <c r="I384" s="258" t="e">
        <f>G384*(1-H384)*(1-E351)</f>
        <v>#DIV/0!</v>
      </c>
      <c r="J384" s="261">
        <f t="shared" si="34"/>
        <v>0.79816000000000009</v>
      </c>
      <c r="K384" s="258" t="e">
        <f>G384*(1-J384)*(1-E351)</f>
        <v>#DIV/0!</v>
      </c>
    </row>
    <row r="385" spans="2:11" hidden="1" x14ac:dyDescent="0.25">
      <c r="B385" s="257">
        <v>32</v>
      </c>
      <c r="C385" s="258" t="e">
        <f t="shared" si="31"/>
        <v>#DIV/0!</v>
      </c>
      <c r="D385" s="258">
        <f t="shared" si="36"/>
        <v>0</v>
      </c>
      <c r="E385" s="258">
        <f>0</f>
        <v>0</v>
      </c>
      <c r="F385" s="258" t="e">
        <f>C385*I351+D385*J351+E385*K351</f>
        <v>#DIV/0!</v>
      </c>
      <c r="G385" s="258" t="e">
        <f>((C385*(1-I351))-(D385*J351)+(E385*(1-K351)))*F351*G351</f>
        <v>#DIV/0!</v>
      </c>
      <c r="H385" s="261">
        <f t="shared" si="35"/>
        <v>0.94781499999999996</v>
      </c>
      <c r="I385" s="258" t="e">
        <f>G385*(1-H385)*(1-E351)</f>
        <v>#DIV/0!</v>
      </c>
      <c r="J385" s="261">
        <f t="shared" si="34"/>
        <v>0.79816000000000009</v>
      </c>
      <c r="K385" s="258" t="e">
        <f>G385*(1-J385)*(1-E351)</f>
        <v>#DIV/0!</v>
      </c>
    </row>
    <row r="386" spans="2:11" hidden="1" x14ac:dyDescent="0.25">
      <c r="B386" s="257">
        <v>33</v>
      </c>
      <c r="C386" s="258" t="e">
        <f t="shared" si="31"/>
        <v>#DIV/0!</v>
      </c>
      <c r="D386" s="258">
        <f t="shared" si="36"/>
        <v>0</v>
      </c>
      <c r="E386" s="258">
        <f>0</f>
        <v>0</v>
      </c>
      <c r="F386" s="258" t="e">
        <f>C386*I351+D386*J351+E386*K351</f>
        <v>#DIV/0!</v>
      </c>
      <c r="G386" s="258" t="e">
        <f>((C386*(1-I351))-(D386*J351)+(E386*(1-K351)))*F351*G351</f>
        <v>#DIV/0!</v>
      </c>
      <c r="H386" s="261">
        <f t="shared" si="35"/>
        <v>0.94781499999999996</v>
      </c>
      <c r="I386" s="258" t="e">
        <f>G386*(1-H386)*(1-E351)</f>
        <v>#DIV/0!</v>
      </c>
      <c r="J386" s="261">
        <f t="shared" si="34"/>
        <v>0.79816000000000009</v>
      </c>
      <c r="K386" s="258" t="e">
        <f>G386*(1-J386)*(1-E351)</f>
        <v>#DIV/0!</v>
      </c>
    </row>
    <row r="387" spans="2:11" hidden="1" x14ac:dyDescent="0.25">
      <c r="B387" s="257">
        <v>34</v>
      </c>
      <c r="C387" s="258" t="e">
        <f t="shared" si="31"/>
        <v>#DIV/0!</v>
      </c>
      <c r="D387" s="258">
        <f t="shared" si="36"/>
        <v>0</v>
      </c>
      <c r="E387" s="258">
        <f>0</f>
        <v>0</v>
      </c>
      <c r="F387" s="258" t="e">
        <f>C387*I351+D387*J351+E387*K351</f>
        <v>#DIV/0!</v>
      </c>
      <c r="G387" s="258" t="e">
        <f>((C387*(1-I351))-(D387*J351)+(E387*(1-K351)))*F351*G351</f>
        <v>#DIV/0!</v>
      </c>
      <c r="H387" s="261">
        <f t="shared" si="35"/>
        <v>0.94781499999999996</v>
      </c>
      <c r="I387" s="258" t="e">
        <f>G387*(1-H387)*(1-E351)</f>
        <v>#DIV/0!</v>
      </c>
      <c r="J387" s="261">
        <f t="shared" si="34"/>
        <v>0.79816000000000009</v>
      </c>
      <c r="K387" s="258" t="e">
        <f>G387*(1-J387)*(1-E351)</f>
        <v>#DIV/0!</v>
      </c>
    </row>
    <row r="388" spans="2:11" hidden="1" x14ac:dyDescent="0.25">
      <c r="B388" s="257">
        <v>35</v>
      </c>
      <c r="C388" s="258" t="e">
        <f t="shared" si="31"/>
        <v>#DIV/0!</v>
      </c>
      <c r="D388" s="258">
        <f t="shared" si="36"/>
        <v>0</v>
      </c>
      <c r="E388" s="258">
        <f>0</f>
        <v>0</v>
      </c>
      <c r="F388" s="258" t="e">
        <f>C388*I351+D388*J351+E388*K351</f>
        <v>#DIV/0!</v>
      </c>
      <c r="G388" s="258" t="e">
        <f>((C388*(1-I351))-(D388*J351)+(E388*(1-K351)))*F351*G351</f>
        <v>#DIV/0!</v>
      </c>
      <c r="H388" s="261">
        <f t="shared" si="35"/>
        <v>0.94781499999999996</v>
      </c>
      <c r="I388" s="258" t="e">
        <f>G388*(1-H388)*(1-E351)</f>
        <v>#DIV/0!</v>
      </c>
      <c r="J388" s="261">
        <f t="shared" si="34"/>
        <v>0.79816000000000009</v>
      </c>
      <c r="K388" s="258" t="e">
        <f>G388*(1-J388)*(1-E351)</f>
        <v>#DIV/0!</v>
      </c>
    </row>
    <row r="389" spans="2:11" hidden="1" x14ac:dyDescent="0.25">
      <c r="B389" s="257">
        <v>36</v>
      </c>
      <c r="C389" s="258" t="e">
        <f t="shared" si="31"/>
        <v>#DIV/0!</v>
      </c>
      <c r="D389" s="258">
        <f t="shared" si="36"/>
        <v>0</v>
      </c>
      <c r="E389" s="258">
        <f>0</f>
        <v>0</v>
      </c>
      <c r="F389" s="258" t="e">
        <f>C389*I351+D389*J351+E389*K351</f>
        <v>#DIV/0!</v>
      </c>
      <c r="G389" s="258" t="e">
        <f>((C389*(1-I351))-(D389*J351)+(E389*(1-K351)))*F351*G351</f>
        <v>#DIV/0!</v>
      </c>
      <c r="H389" s="261">
        <f t="shared" si="35"/>
        <v>0.94781499999999996</v>
      </c>
      <c r="I389" s="258" t="e">
        <f>G389*(1-H389)*(1-E351)</f>
        <v>#DIV/0!</v>
      </c>
      <c r="J389" s="261">
        <f t="shared" si="34"/>
        <v>0.79816000000000009</v>
      </c>
      <c r="K389" s="258" t="e">
        <f>G389*(1-J389)*(1-E351)</f>
        <v>#DIV/0!</v>
      </c>
    </row>
    <row r="390" spans="2:11" hidden="1" x14ac:dyDescent="0.25">
      <c r="B390" s="257">
        <v>37</v>
      </c>
      <c r="C390" s="258" t="e">
        <f t="shared" si="31"/>
        <v>#DIV/0!</v>
      </c>
      <c r="D390" s="258">
        <f t="shared" si="36"/>
        <v>0</v>
      </c>
      <c r="E390" s="258">
        <f>0</f>
        <v>0</v>
      </c>
      <c r="F390" s="258" t="e">
        <f>C390*I351+D390*J351+E390*K351</f>
        <v>#DIV/0!</v>
      </c>
      <c r="G390" s="258" t="e">
        <f>((C390*(1-I351))-(D390*J351)+(E390*(1-K351)))*F351*G351</f>
        <v>#DIV/0!</v>
      </c>
      <c r="H390" s="261">
        <f t="shared" si="35"/>
        <v>0.94781499999999996</v>
      </c>
      <c r="I390" s="258" t="e">
        <f>G390*(1-H390)*(1-E351)</f>
        <v>#DIV/0!</v>
      </c>
      <c r="J390" s="261">
        <f t="shared" si="34"/>
        <v>0.79816000000000009</v>
      </c>
      <c r="K390" s="258" t="e">
        <f>G390*(1-J390)*(1-E351)</f>
        <v>#DIV/0!</v>
      </c>
    </row>
    <row r="391" spans="2:11" hidden="1" x14ac:dyDescent="0.25">
      <c r="B391" s="257">
        <v>38</v>
      </c>
      <c r="C391" s="258" t="e">
        <f t="shared" si="31"/>
        <v>#DIV/0!</v>
      </c>
      <c r="D391" s="258">
        <f t="shared" si="36"/>
        <v>0</v>
      </c>
      <c r="E391" s="258">
        <f>0</f>
        <v>0</v>
      </c>
      <c r="F391" s="258" t="e">
        <f>C391*I351+D391*J351+E391*K351</f>
        <v>#DIV/0!</v>
      </c>
      <c r="G391" s="258" t="e">
        <f>((C391*(1-I351))-(D391*J351)+(E391*(1-K351)))*F351*G351</f>
        <v>#DIV/0!</v>
      </c>
      <c r="H391" s="261">
        <f t="shared" si="35"/>
        <v>0.94781499999999996</v>
      </c>
      <c r="I391" s="258" t="e">
        <f>G391*(1-H391)*(1-E351)</f>
        <v>#DIV/0!</v>
      </c>
      <c r="J391" s="261">
        <f t="shared" si="34"/>
        <v>0.79816000000000009</v>
      </c>
      <c r="K391" s="258" t="e">
        <f>G391*(1-J391)*(1-E351)</f>
        <v>#DIV/0!</v>
      </c>
    </row>
    <row r="392" spans="2:11" hidden="1" x14ac:dyDescent="0.25">
      <c r="B392" s="257">
        <v>39</v>
      </c>
      <c r="C392" s="258" t="e">
        <f t="shared" si="31"/>
        <v>#DIV/0!</v>
      </c>
      <c r="D392" s="258">
        <f t="shared" si="36"/>
        <v>0</v>
      </c>
      <c r="E392" s="258">
        <f>0</f>
        <v>0</v>
      </c>
      <c r="F392" s="258" t="e">
        <f>C392*I351+D392*J351+E392*K351</f>
        <v>#DIV/0!</v>
      </c>
      <c r="G392" s="258" t="e">
        <f>((C392*(1-I351))-(D392*J351)+(E392*(1-K351)))*F351*G351</f>
        <v>#DIV/0!</v>
      </c>
      <c r="H392" s="261">
        <f t="shared" si="35"/>
        <v>0.94781499999999996</v>
      </c>
      <c r="I392" s="258" t="e">
        <f>G392*(1-H392)*(1-E351)</f>
        <v>#DIV/0!</v>
      </c>
      <c r="J392" s="261">
        <f t="shared" si="34"/>
        <v>0.79816000000000009</v>
      </c>
      <c r="K392" s="258" t="e">
        <f>G392*(1-J392)*(1-E351)</f>
        <v>#DIV/0!</v>
      </c>
    </row>
    <row r="393" spans="2:11" hidden="1" x14ac:dyDescent="0.25">
      <c r="B393" s="257">
        <v>40</v>
      </c>
      <c r="C393" s="258" t="e">
        <f t="shared" si="31"/>
        <v>#DIV/0!</v>
      </c>
      <c r="D393" s="258">
        <f t="shared" si="36"/>
        <v>0</v>
      </c>
      <c r="E393" s="258">
        <f>0</f>
        <v>0</v>
      </c>
      <c r="F393" s="258" t="e">
        <f>C393*I351+D393*J351+E393*K351</f>
        <v>#DIV/0!</v>
      </c>
      <c r="G393" s="258" t="e">
        <f>((C393*(1-I351))-(D393*J351)+(E393*(1-K351)))*F351*G351</f>
        <v>#DIV/0!</v>
      </c>
      <c r="H393" s="261">
        <f t="shared" si="35"/>
        <v>0.94781499999999996</v>
      </c>
      <c r="I393" s="258" t="e">
        <f>G393*(1-H393)*(1-E351)</f>
        <v>#DIV/0!</v>
      </c>
      <c r="J393" s="261">
        <f t="shared" si="34"/>
        <v>0.79816000000000009</v>
      </c>
      <c r="K393" s="258" t="e">
        <f>G393*(1-J393)*(1-E351)</f>
        <v>#DIV/0!</v>
      </c>
    </row>
    <row r="394" spans="2:11" hidden="1" x14ac:dyDescent="0.25">
      <c r="B394" s="257">
        <v>41</v>
      </c>
      <c r="C394" s="258" t="e">
        <f t="shared" si="31"/>
        <v>#DIV/0!</v>
      </c>
      <c r="D394" s="258">
        <f t="shared" si="36"/>
        <v>0</v>
      </c>
      <c r="E394" s="258">
        <f>0</f>
        <v>0</v>
      </c>
      <c r="F394" s="258" t="e">
        <f>C394*I351+D394*J351+E394*K351</f>
        <v>#DIV/0!</v>
      </c>
      <c r="G394" s="258" t="e">
        <f>((C394*(1-I351))-(D394*J351)+(E394*(1-K351)))*F351*G351</f>
        <v>#DIV/0!</v>
      </c>
      <c r="H394" s="261">
        <f t="shared" si="35"/>
        <v>0.94781499999999996</v>
      </c>
      <c r="I394" s="258" t="e">
        <f>G394*(1-H394)*(1-E351)</f>
        <v>#DIV/0!</v>
      </c>
      <c r="J394" s="261">
        <f t="shared" si="34"/>
        <v>0.79816000000000009</v>
      </c>
      <c r="K394" s="258" t="e">
        <f>G394*(1-J394)*(1-E351)</f>
        <v>#DIV/0!</v>
      </c>
    </row>
    <row r="395" spans="2:11" hidden="1" x14ac:dyDescent="0.25">
      <c r="B395" s="257">
        <v>42</v>
      </c>
      <c r="C395" s="258" t="e">
        <f t="shared" si="31"/>
        <v>#DIV/0!</v>
      </c>
      <c r="D395" s="258">
        <f t="shared" si="36"/>
        <v>0</v>
      </c>
      <c r="E395" s="258">
        <f>0</f>
        <v>0</v>
      </c>
      <c r="F395" s="258" t="e">
        <f>C395*I351+D395*J351+E395*K351</f>
        <v>#DIV/0!</v>
      </c>
      <c r="G395" s="258" t="e">
        <f>((C395*(1-I351))-(D395*J351)+(E395*(1-K351)))*F351*G351</f>
        <v>#DIV/0!</v>
      </c>
      <c r="H395" s="261">
        <f t="shared" si="35"/>
        <v>0.94781499999999996</v>
      </c>
      <c r="I395" s="258" t="e">
        <f>G395*(1-H395)*(1-E351)</f>
        <v>#DIV/0!</v>
      </c>
      <c r="J395" s="261">
        <f t="shared" si="34"/>
        <v>0.79816000000000009</v>
      </c>
      <c r="K395" s="258" t="e">
        <f>G395*(1-J395)*(1-E351)</f>
        <v>#DIV/0!</v>
      </c>
    </row>
    <row r="396" spans="2:11" hidden="1" x14ac:dyDescent="0.25">
      <c r="B396" s="257">
        <v>43</v>
      </c>
      <c r="C396" s="258" t="e">
        <f t="shared" si="31"/>
        <v>#DIV/0!</v>
      </c>
      <c r="D396" s="258">
        <f t="shared" si="36"/>
        <v>0</v>
      </c>
      <c r="E396" s="258">
        <f>0</f>
        <v>0</v>
      </c>
      <c r="F396" s="258" t="e">
        <f>C396*I351+D396*J351+E396*K351</f>
        <v>#DIV/0!</v>
      </c>
      <c r="G396" s="258" t="e">
        <f>((C396*(1-I351))-(D396*J351)+(E396*(1-K351)))*F351*G351</f>
        <v>#DIV/0!</v>
      </c>
      <c r="H396" s="261">
        <f t="shared" si="35"/>
        <v>0.94781499999999996</v>
      </c>
      <c r="I396" s="258" t="e">
        <f>G396*(1-H396)*(1-E351)</f>
        <v>#DIV/0!</v>
      </c>
      <c r="J396" s="261">
        <f t="shared" si="34"/>
        <v>0.79816000000000009</v>
      </c>
      <c r="K396" s="258" t="e">
        <f>G396*(1-J396)*(1-E351)</f>
        <v>#DIV/0!</v>
      </c>
    </row>
    <row r="397" spans="2:11" hidden="1" x14ac:dyDescent="0.25">
      <c r="B397" s="257">
        <v>44</v>
      </c>
      <c r="C397" s="258" t="e">
        <f t="shared" si="31"/>
        <v>#DIV/0!</v>
      </c>
      <c r="D397" s="258">
        <f t="shared" si="36"/>
        <v>0</v>
      </c>
      <c r="E397" s="258">
        <f>0</f>
        <v>0</v>
      </c>
      <c r="F397" s="258" t="e">
        <f>C397*I351+D397*J351+E397*K351</f>
        <v>#DIV/0!</v>
      </c>
      <c r="G397" s="258" t="e">
        <f>((C397*(1-I351))-(D397*J351)+(E397*(1-K351)))*F351*G351</f>
        <v>#DIV/0!</v>
      </c>
      <c r="H397" s="261">
        <f t="shared" si="35"/>
        <v>0.94781499999999996</v>
      </c>
      <c r="I397" s="258" t="e">
        <f>G397*(1-H397)*(1-E351)</f>
        <v>#DIV/0!</v>
      </c>
      <c r="J397" s="261">
        <f t="shared" si="34"/>
        <v>0.79816000000000009</v>
      </c>
      <c r="K397" s="258" t="e">
        <f>G397*(1-J397)*(1-E351)</f>
        <v>#DIV/0!</v>
      </c>
    </row>
    <row r="398" spans="2:11" hidden="1" x14ac:dyDescent="0.25">
      <c r="B398" s="257">
        <v>45</v>
      </c>
      <c r="C398" s="258" t="e">
        <f t="shared" si="31"/>
        <v>#DIV/0!</v>
      </c>
      <c r="D398" s="258">
        <f t="shared" si="36"/>
        <v>0</v>
      </c>
      <c r="E398" s="258">
        <f>0</f>
        <v>0</v>
      </c>
      <c r="F398" s="258" t="e">
        <f>C398*I351+D398*J351+E398*K351</f>
        <v>#DIV/0!</v>
      </c>
      <c r="G398" s="258" t="e">
        <f>((C398*(1-I351))-(D398*J351)+(E398*(1-K351)))*F351*G351</f>
        <v>#DIV/0!</v>
      </c>
      <c r="H398" s="261">
        <f t="shared" si="35"/>
        <v>0.94781499999999996</v>
      </c>
      <c r="I398" s="258" t="e">
        <f>G398*(1-H398)*(1-E351)</f>
        <v>#DIV/0!</v>
      </c>
      <c r="J398" s="261">
        <f t="shared" si="34"/>
        <v>0.79816000000000009</v>
      </c>
      <c r="K398" s="258" t="e">
        <f>G398*(1-J398)*(1-E351)</f>
        <v>#DIV/0!</v>
      </c>
    </row>
    <row r="399" spans="2:11" hidden="1" x14ac:dyDescent="0.25">
      <c r="B399" s="257">
        <v>46</v>
      </c>
      <c r="C399" s="258" t="e">
        <f t="shared" si="31"/>
        <v>#DIV/0!</v>
      </c>
      <c r="D399" s="258">
        <f t="shared" si="36"/>
        <v>0</v>
      </c>
      <c r="E399" s="258">
        <f>0</f>
        <v>0</v>
      </c>
      <c r="F399" s="258" t="e">
        <f>C399*I351+D399*J351+E399*K351</f>
        <v>#DIV/0!</v>
      </c>
      <c r="G399" s="258" t="e">
        <f>((C399*(1-I351))-(D399*J351)+(E399*(1-K351)))*F351*G351</f>
        <v>#DIV/0!</v>
      </c>
      <c r="H399" s="261">
        <f t="shared" si="35"/>
        <v>0.94781499999999996</v>
      </c>
      <c r="I399" s="258" t="e">
        <f>G399*(1-H399)*(1-E351)</f>
        <v>#DIV/0!</v>
      </c>
      <c r="J399" s="261">
        <f t="shared" si="34"/>
        <v>0.79816000000000009</v>
      </c>
      <c r="K399" s="258" t="e">
        <f>G399*(1-J399)*(1-E351)</f>
        <v>#DIV/0!</v>
      </c>
    </row>
    <row r="400" spans="2:11" hidden="1" x14ac:dyDescent="0.25">
      <c r="B400" s="257">
        <v>47</v>
      </c>
      <c r="C400" s="258" t="e">
        <f t="shared" si="31"/>
        <v>#DIV/0!</v>
      </c>
      <c r="D400" s="258">
        <f t="shared" si="36"/>
        <v>0</v>
      </c>
      <c r="E400" s="258">
        <f>0</f>
        <v>0</v>
      </c>
      <c r="F400" s="258" t="e">
        <f>C400*I351+D400*J351+E400*K351</f>
        <v>#DIV/0!</v>
      </c>
      <c r="G400" s="258" t="e">
        <f>((C400*(1-I351))-(D400*J351)+(E400*(1-K351)))*F351*G351</f>
        <v>#DIV/0!</v>
      </c>
      <c r="H400" s="261">
        <f t="shared" si="35"/>
        <v>0.94781499999999996</v>
      </c>
      <c r="I400" s="258" t="e">
        <f>G400*(1-H400)*(1-E351)</f>
        <v>#DIV/0!</v>
      </c>
      <c r="J400" s="261">
        <f t="shared" si="34"/>
        <v>0.79816000000000009</v>
      </c>
      <c r="K400" s="258" t="e">
        <f>G400*(1-J400)*(1-E351)</f>
        <v>#DIV/0!</v>
      </c>
    </row>
    <row r="401" spans="2:11" hidden="1" x14ac:dyDescent="0.25">
      <c r="B401" s="257">
        <v>48</v>
      </c>
      <c r="C401" s="258" t="e">
        <f t="shared" si="31"/>
        <v>#DIV/0!</v>
      </c>
      <c r="D401" s="258">
        <f t="shared" si="36"/>
        <v>0</v>
      </c>
      <c r="E401" s="258">
        <f>0</f>
        <v>0</v>
      </c>
      <c r="F401" s="258" t="e">
        <f>C401*I351+D401*J351+E401*K351</f>
        <v>#DIV/0!</v>
      </c>
      <c r="G401" s="258" t="e">
        <f>((C401*(1-I351))-(D401*J351)+(E401*(1-K351)))*F351*G351</f>
        <v>#DIV/0!</v>
      </c>
      <c r="H401" s="261">
        <f t="shared" si="35"/>
        <v>0.94781499999999996</v>
      </c>
      <c r="I401" s="258" t="e">
        <f>G401*(1-H401)*(1-E351)</f>
        <v>#DIV/0!</v>
      </c>
      <c r="J401" s="261">
        <f t="shared" si="34"/>
        <v>0.79816000000000009</v>
      </c>
      <c r="K401" s="258" t="e">
        <f>G401*(1-J401)*(1-E351)</f>
        <v>#DIV/0!</v>
      </c>
    </row>
    <row r="402" spans="2:11" hidden="1" x14ac:dyDescent="0.25">
      <c r="B402" s="257">
        <v>49</v>
      </c>
      <c r="C402" s="258" t="e">
        <f t="shared" si="31"/>
        <v>#DIV/0!</v>
      </c>
      <c r="D402" s="258">
        <f t="shared" si="36"/>
        <v>0</v>
      </c>
      <c r="E402" s="258">
        <f>0</f>
        <v>0</v>
      </c>
      <c r="F402" s="258" t="e">
        <f>C402*I351+D402*J351+E402*K351</f>
        <v>#DIV/0!</v>
      </c>
      <c r="G402" s="258" t="e">
        <f>((C402*(1-I351))-(D402*J351)+(E402*(1-K351)))*F351*G351</f>
        <v>#DIV/0!</v>
      </c>
      <c r="H402" s="261">
        <f t="shared" si="35"/>
        <v>0.94781499999999996</v>
      </c>
      <c r="I402" s="258" t="e">
        <f>G402*(1-H402)*(1-E351)</f>
        <v>#DIV/0!</v>
      </c>
      <c r="J402" s="261">
        <f t="shared" si="34"/>
        <v>0.79816000000000009</v>
      </c>
      <c r="K402" s="258" t="e">
        <f>G402*(1-J402)*(1-E351)</f>
        <v>#DIV/0!</v>
      </c>
    </row>
    <row r="403" spans="2:11" hidden="1" x14ac:dyDescent="0.25">
      <c r="B403" s="257">
        <v>50</v>
      </c>
      <c r="C403" s="258" t="e">
        <f t="shared" si="31"/>
        <v>#DIV/0!</v>
      </c>
      <c r="D403" s="258">
        <f t="shared" si="36"/>
        <v>0</v>
      </c>
      <c r="E403" s="258">
        <f>0</f>
        <v>0</v>
      </c>
      <c r="F403" s="258" t="e">
        <f>C403*I351+D403*J351+E403*K351</f>
        <v>#DIV/0!</v>
      </c>
      <c r="G403" s="258" t="e">
        <f>((C403*(1-I351))-(D403*J351)+(E403*(1-K351)))*F351*G351</f>
        <v>#DIV/0!</v>
      </c>
      <c r="H403" s="261">
        <f t="shared" si="35"/>
        <v>0.94781499999999996</v>
      </c>
      <c r="I403" s="258" t="e">
        <f>G403*(1-H403)*(1-E351)</f>
        <v>#DIV/0!</v>
      </c>
      <c r="J403" s="261">
        <f t="shared" si="34"/>
        <v>0.79816000000000009</v>
      </c>
      <c r="K403" s="258" t="e">
        <f>G403*(1-J403)*(1-E351)</f>
        <v>#DIV/0!</v>
      </c>
    </row>
    <row r="404" spans="2:11" hidden="1" x14ac:dyDescent="0.25">
      <c r="B404" s="257">
        <v>51</v>
      </c>
      <c r="C404" s="258" t="e">
        <f t="shared" si="31"/>
        <v>#DIV/0!</v>
      </c>
      <c r="D404" s="258">
        <f t="shared" si="36"/>
        <v>0</v>
      </c>
      <c r="E404" s="258">
        <f>0</f>
        <v>0</v>
      </c>
      <c r="F404" s="258" t="e">
        <f>C404*I351+D404*J351+E404*K351</f>
        <v>#DIV/0!</v>
      </c>
      <c r="G404" s="258" t="e">
        <f>((C404*(1-I351))-(D404*J351)+(E404*(1-K351)))*F351*G351</f>
        <v>#DIV/0!</v>
      </c>
      <c r="H404" s="261">
        <f t="shared" si="35"/>
        <v>0.94781499999999996</v>
      </c>
      <c r="I404" s="258" t="e">
        <f>G404*(1-H404)*(1-E351)</f>
        <v>#DIV/0!</v>
      </c>
      <c r="J404" s="261">
        <f t="shared" si="34"/>
        <v>0.79816000000000009</v>
      </c>
      <c r="K404" s="258" t="e">
        <f>G404*(1-J404)*(1-E351)</f>
        <v>#DIV/0!</v>
      </c>
    </row>
    <row r="405" spans="2:11" hidden="1" x14ac:dyDescent="0.25">
      <c r="B405" s="257">
        <v>52</v>
      </c>
      <c r="C405" s="258" t="e">
        <f t="shared" si="31"/>
        <v>#DIV/0!</v>
      </c>
      <c r="D405" s="258">
        <f t="shared" si="36"/>
        <v>0</v>
      </c>
      <c r="E405" s="258">
        <f>0</f>
        <v>0</v>
      </c>
      <c r="F405" s="258" t="e">
        <f>C405*I351+D405*J351+E405*K351</f>
        <v>#DIV/0!</v>
      </c>
      <c r="G405" s="258" t="e">
        <f>((C405*(1-I351))-(D405*J351)+(E405*(1-K351)))*F351*G351</f>
        <v>#DIV/0!</v>
      </c>
      <c r="H405" s="261">
        <f t="shared" si="35"/>
        <v>0.94781499999999996</v>
      </c>
      <c r="I405" s="258" t="e">
        <f>G405*(1-H405)*(1-E351)</f>
        <v>#DIV/0!</v>
      </c>
      <c r="J405" s="261">
        <f t="shared" si="34"/>
        <v>0.79816000000000009</v>
      </c>
      <c r="K405" s="258" t="e">
        <f>G405*(1-J405)*(1-E351)</f>
        <v>#DIV/0!</v>
      </c>
    </row>
    <row r="406" spans="2:11" hidden="1" x14ac:dyDescent="0.25">
      <c r="B406" s="257">
        <v>53</v>
      </c>
      <c r="C406" s="258" t="e">
        <f t="shared" si="31"/>
        <v>#DIV/0!</v>
      </c>
      <c r="D406" s="258">
        <f t="shared" si="36"/>
        <v>0</v>
      </c>
      <c r="E406" s="258">
        <f>0</f>
        <v>0</v>
      </c>
      <c r="F406" s="258" t="e">
        <f>C406*I351+D406*J351+E406*K351</f>
        <v>#DIV/0!</v>
      </c>
      <c r="G406" s="258" t="e">
        <f>((C406*(1-I351))-(D406*J351)+(E406*(1-K351)))*F351*G351</f>
        <v>#DIV/0!</v>
      </c>
      <c r="H406" s="261">
        <f t="shared" si="35"/>
        <v>0.94781499999999996</v>
      </c>
      <c r="I406" s="258" t="e">
        <f>G406*(1-H406)*(1-E351)</f>
        <v>#DIV/0!</v>
      </c>
      <c r="J406" s="261">
        <f t="shared" si="34"/>
        <v>0.79816000000000009</v>
      </c>
      <c r="K406" s="258" t="e">
        <f>G406*(1-J406)*(1-E351)</f>
        <v>#DIV/0!</v>
      </c>
    </row>
    <row r="407" spans="2:11" hidden="1" x14ac:dyDescent="0.25">
      <c r="B407" s="257">
        <v>54</v>
      </c>
      <c r="C407" s="258" t="e">
        <f t="shared" si="31"/>
        <v>#DIV/0!</v>
      </c>
      <c r="D407" s="258">
        <f t="shared" si="36"/>
        <v>0</v>
      </c>
      <c r="E407" s="258">
        <f>0</f>
        <v>0</v>
      </c>
      <c r="F407" s="258" t="e">
        <f>C407*I351+D407*J351+E407*K351</f>
        <v>#DIV/0!</v>
      </c>
      <c r="G407" s="258" t="e">
        <f>((C407*(1-I351))-(D407*J351)+(E407*(1-K351)))*F351*G351</f>
        <v>#DIV/0!</v>
      </c>
      <c r="H407" s="261">
        <f t="shared" si="35"/>
        <v>0.94781499999999996</v>
      </c>
      <c r="I407" s="258" t="e">
        <f>G407*(1-H407)*(1-E351)</f>
        <v>#DIV/0!</v>
      </c>
      <c r="J407" s="261">
        <f t="shared" si="34"/>
        <v>0.79816000000000009</v>
      </c>
      <c r="K407" s="258" t="e">
        <f>G407*(1-J407)*(1-E351)</f>
        <v>#DIV/0!</v>
      </c>
    </row>
    <row r="408" spans="2:11" hidden="1" x14ac:dyDescent="0.25">
      <c r="B408" s="257">
        <v>55</v>
      </c>
      <c r="C408" s="258" t="e">
        <f t="shared" si="31"/>
        <v>#DIV/0!</v>
      </c>
      <c r="D408" s="258">
        <f t="shared" si="36"/>
        <v>0</v>
      </c>
      <c r="E408" s="258">
        <f>0</f>
        <v>0</v>
      </c>
      <c r="F408" s="258" t="e">
        <f>C408*I351+D408*J351+E408*K351</f>
        <v>#DIV/0!</v>
      </c>
      <c r="G408" s="258" t="e">
        <f>((C408*(1-I351))-(D408*J351)+(E408*(1-K351)))*F351*G351</f>
        <v>#DIV/0!</v>
      </c>
      <c r="H408" s="261">
        <f t="shared" si="35"/>
        <v>0.94781499999999996</v>
      </c>
      <c r="I408" s="258" t="e">
        <f>G408*(1-H408)*(1-E351)</f>
        <v>#DIV/0!</v>
      </c>
      <c r="J408" s="261">
        <f t="shared" si="34"/>
        <v>0.79816000000000009</v>
      </c>
      <c r="K408" s="258" t="e">
        <f>G408*(1-J408)*(1-E351)</f>
        <v>#DIV/0!</v>
      </c>
    </row>
    <row r="409" spans="2:11" hidden="1" x14ac:dyDescent="0.25">
      <c r="B409" s="257">
        <v>56</v>
      </c>
      <c r="C409" s="258" t="e">
        <f t="shared" si="31"/>
        <v>#DIV/0!</v>
      </c>
      <c r="D409" s="258">
        <f t="shared" si="36"/>
        <v>0</v>
      </c>
      <c r="E409" s="258">
        <f>0</f>
        <v>0</v>
      </c>
      <c r="F409" s="258" t="e">
        <f>C409*I351+D409*J351+E409*K351</f>
        <v>#DIV/0!</v>
      </c>
      <c r="G409" s="258" t="e">
        <f>((C409*(1-I351))-(D409*J351)+(E409*(1-K351)))*F351*G351</f>
        <v>#DIV/0!</v>
      </c>
      <c r="H409" s="261">
        <f t="shared" si="35"/>
        <v>0.94781499999999996</v>
      </c>
      <c r="I409" s="258" t="e">
        <f>G409*(1-H409)*(1-E351)</f>
        <v>#DIV/0!</v>
      </c>
      <c r="J409" s="261">
        <f t="shared" si="34"/>
        <v>0.79816000000000009</v>
      </c>
      <c r="K409" s="258" t="e">
        <f>G409*(1-J409)*(1-E351)</f>
        <v>#DIV/0!</v>
      </c>
    </row>
    <row r="410" spans="2:11" hidden="1" x14ac:dyDescent="0.25">
      <c r="B410" s="257">
        <v>57</v>
      </c>
      <c r="C410" s="258" t="e">
        <f t="shared" si="31"/>
        <v>#DIV/0!</v>
      </c>
      <c r="D410" s="258">
        <f t="shared" si="36"/>
        <v>0</v>
      </c>
      <c r="E410" s="258">
        <f>0</f>
        <v>0</v>
      </c>
      <c r="F410" s="258" t="e">
        <f>C410*I351+D410*J351+E410*K351</f>
        <v>#DIV/0!</v>
      </c>
      <c r="G410" s="258" t="e">
        <f>((C410*(1-I351))-(D410*J351)+(E410*(1-K351)))*F351*G351</f>
        <v>#DIV/0!</v>
      </c>
      <c r="H410" s="261">
        <f t="shared" si="35"/>
        <v>0.94781499999999996</v>
      </c>
      <c r="I410" s="258" t="e">
        <f>G410*(1-H410)*(1-E351)</f>
        <v>#DIV/0!</v>
      </c>
      <c r="J410" s="261">
        <f t="shared" si="34"/>
        <v>0.79816000000000009</v>
      </c>
      <c r="K410" s="258" t="e">
        <f>G410*(1-J410)*(1-E351)</f>
        <v>#DIV/0!</v>
      </c>
    </row>
    <row r="411" spans="2:11" hidden="1" x14ac:dyDescent="0.25">
      <c r="B411" s="257">
        <v>58</v>
      </c>
      <c r="C411" s="258" t="e">
        <f t="shared" si="31"/>
        <v>#DIV/0!</v>
      </c>
      <c r="D411" s="258">
        <f t="shared" si="36"/>
        <v>0</v>
      </c>
      <c r="E411" s="258">
        <f>0</f>
        <v>0</v>
      </c>
      <c r="F411" s="258" t="e">
        <f>C411*I351+D411*J351+E411*K351</f>
        <v>#DIV/0!</v>
      </c>
      <c r="G411" s="258" t="e">
        <f>((C411*(1-I351))-(D411*J351)+(E411*(1-K351)))*F351*G351</f>
        <v>#DIV/0!</v>
      </c>
      <c r="H411" s="261">
        <f t="shared" si="35"/>
        <v>0.94781499999999996</v>
      </c>
      <c r="I411" s="258" t="e">
        <f>G411*(1-H411)*(1-E351)</f>
        <v>#DIV/0!</v>
      </c>
      <c r="J411" s="261">
        <f t="shared" si="34"/>
        <v>0.79816000000000009</v>
      </c>
      <c r="K411" s="258" t="e">
        <f>G411*(1-J411)*(1-E351)</f>
        <v>#DIV/0!</v>
      </c>
    </row>
    <row r="412" spans="2:11" hidden="1" x14ac:dyDescent="0.25">
      <c r="B412" s="257">
        <v>59</v>
      </c>
      <c r="C412" s="258" t="e">
        <f t="shared" si="31"/>
        <v>#DIV/0!</v>
      </c>
      <c r="D412" s="258">
        <f t="shared" si="36"/>
        <v>0</v>
      </c>
      <c r="E412" s="258">
        <f>0</f>
        <v>0</v>
      </c>
      <c r="F412" s="258" t="e">
        <f>C412*I351+D412*J351+E412*K351</f>
        <v>#DIV/0!</v>
      </c>
      <c r="G412" s="258" t="e">
        <f>((C412*(1-I351))-(D412*J351)+(E412*(1-K351)))*F351*G351</f>
        <v>#DIV/0!</v>
      </c>
      <c r="H412" s="261">
        <f t="shared" si="35"/>
        <v>0.94781499999999996</v>
      </c>
      <c r="I412" s="258" t="e">
        <f>G412*(1-H412)*(1-E351)</f>
        <v>#DIV/0!</v>
      </c>
      <c r="J412" s="261">
        <f t="shared" si="34"/>
        <v>0.79816000000000009</v>
      </c>
      <c r="K412" s="258" t="e">
        <f>G412*(1-J412)*(1-E351)</f>
        <v>#DIV/0!</v>
      </c>
    </row>
    <row r="413" spans="2:11" hidden="1" x14ac:dyDescent="0.25">
      <c r="B413" s="257">
        <v>60</v>
      </c>
      <c r="C413" s="258" t="e">
        <f t="shared" si="31"/>
        <v>#DIV/0!</v>
      </c>
      <c r="D413" s="258">
        <f t="shared" si="36"/>
        <v>0</v>
      </c>
      <c r="E413" s="258">
        <f>0</f>
        <v>0</v>
      </c>
      <c r="F413" s="258" t="e">
        <f>C413*I351+D413*J351+E413*K351</f>
        <v>#DIV/0!</v>
      </c>
      <c r="G413" s="258" t="e">
        <f>((C413*(1-I351))-(D413*J351)+(E413*(1-K351)))*F351*G351</f>
        <v>#DIV/0!</v>
      </c>
      <c r="H413" s="261">
        <f t="shared" si="35"/>
        <v>0.94781499999999996</v>
      </c>
      <c r="I413" s="258" t="e">
        <f>G413*(1-H413)*(1-E351)</f>
        <v>#DIV/0!</v>
      </c>
      <c r="J413" s="261">
        <f t="shared" si="34"/>
        <v>0.79816000000000009</v>
      </c>
      <c r="K413" s="258" t="e">
        <f>G413*(1-J413)*(1-E351)</f>
        <v>#DIV/0!</v>
      </c>
    </row>
    <row r="414" spans="2:11" hidden="1" x14ac:dyDescent="0.25">
      <c r="B414" s="257">
        <v>61</v>
      </c>
      <c r="C414" s="258" t="e">
        <f t="shared" si="31"/>
        <v>#DIV/0!</v>
      </c>
      <c r="D414" s="258">
        <f t="shared" si="36"/>
        <v>0</v>
      </c>
      <c r="E414" s="258">
        <f>0</f>
        <v>0</v>
      </c>
      <c r="F414" s="258" t="e">
        <f>C414*I351+D414*J351+E414*K351</f>
        <v>#DIV/0!</v>
      </c>
      <c r="G414" s="258" t="e">
        <f>((C414*(1-I351))-(D414*J351)+(E414*(1-K351)))*F351*G351</f>
        <v>#DIV/0!</v>
      </c>
      <c r="H414" s="261">
        <f t="shared" si="35"/>
        <v>0.94781499999999996</v>
      </c>
      <c r="I414" s="258" t="e">
        <f>G414*(1-H414)*(1-E351)</f>
        <v>#DIV/0!</v>
      </c>
      <c r="J414" s="261">
        <v>0</v>
      </c>
      <c r="K414" s="258" t="e">
        <f>G414*(1-J414)*(1-E351)</f>
        <v>#DIV/0!</v>
      </c>
    </row>
    <row r="415" spans="2:11" hidden="1" x14ac:dyDescent="0.25">
      <c r="B415" s="257">
        <v>62</v>
      </c>
      <c r="C415" s="258" t="e">
        <f t="shared" si="31"/>
        <v>#DIV/0!</v>
      </c>
      <c r="D415" s="258">
        <f t="shared" si="36"/>
        <v>0</v>
      </c>
      <c r="E415" s="258">
        <f>0</f>
        <v>0</v>
      </c>
      <c r="F415" s="258" t="e">
        <f>C415*I351+D415*J351+E415*K351</f>
        <v>#DIV/0!</v>
      </c>
      <c r="G415" s="258" t="e">
        <f>((C415*(1-I351))-(D415*J351)+(E415*(1-K351)))*F351*G351</f>
        <v>#DIV/0!</v>
      </c>
      <c r="H415" s="261">
        <f t="shared" si="35"/>
        <v>0.94781499999999996</v>
      </c>
      <c r="I415" s="258" t="e">
        <f>G415*(1-H415)*(1-E351)</f>
        <v>#DIV/0!</v>
      </c>
      <c r="J415" s="261">
        <v>0</v>
      </c>
      <c r="K415" s="258" t="e">
        <f>G415*(1-J415)*(1-E351)</f>
        <v>#DIV/0!</v>
      </c>
    </row>
    <row r="416" spans="2:11" hidden="1" x14ac:dyDescent="0.25">
      <c r="B416" s="257">
        <v>63</v>
      </c>
      <c r="C416" s="258" t="e">
        <f t="shared" si="31"/>
        <v>#DIV/0!</v>
      </c>
      <c r="D416" s="258">
        <f t="shared" si="36"/>
        <v>0</v>
      </c>
      <c r="E416" s="258">
        <f>0</f>
        <v>0</v>
      </c>
      <c r="F416" s="258" t="e">
        <f>C416*I351+D416*J351+E416*K351</f>
        <v>#DIV/0!</v>
      </c>
      <c r="G416" s="258" t="e">
        <f>((C416*(1-I351))-(D416*J351)+(E416*(1-K351)))*F351*G351</f>
        <v>#DIV/0!</v>
      </c>
      <c r="H416" s="261">
        <f t="shared" si="35"/>
        <v>0.94781499999999996</v>
      </c>
      <c r="I416" s="258" t="e">
        <f>G416*(1-H416)*(1-E351)</f>
        <v>#DIV/0!</v>
      </c>
      <c r="J416" s="261">
        <v>0</v>
      </c>
      <c r="K416" s="258" t="e">
        <f>G416*(1-J416)*(1-E351)</f>
        <v>#DIV/0!</v>
      </c>
    </row>
    <row r="417" spans="2:11" hidden="1" x14ac:dyDescent="0.25">
      <c r="B417" s="257">
        <v>64</v>
      </c>
      <c r="C417" s="258" t="e">
        <f t="shared" si="31"/>
        <v>#DIV/0!</v>
      </c>
      <c r="D417" s="258">
        <f t="shared" si="36"/>
        <v>0</v>
      </c>
      <c r="E417" s="258">
        <f>0</f>
        <v>0</v>
      </c>
      <c r="F417" s="258" t="e">
        <f>C417*I351+D417*J351+E417*K351</f>
        <v>#DIV/0!</v>
      </c>
      <c r="G417" s="258" t="e">
        <f>((C417*(1-I351))-(D417*J351)+(E417*(1-K351)))*F351*G351</f>
        <v>#DIV/0!</v>
      </c>
      <c r="H417" s="261">
        <f t="shared" si="35"/>
        <v>0.94781499999999996</v>
      </c>
      <c r="I417" s="258" t="e">
        <f>G417*(1-H417)*(1-E351)</f>
        <v>#DIV/0!</v>
      </c>
      <c r="J417" s="261">
        <v>0</v>
      </c>
      <c r="K417" s="258" t="e">
        <f>G417*(1-J417)*(1-E351)</f>
        <v>#DIV/0!</v>
      </c>
    </row>
    <row r="418" spans="2:11" hidden="1" x14ac:dyDescent="0.25">
      <c r="B418" s="257">
        <v>65</v>
      </c>
      <c r="C418" s="258" t="e">
        <f t="shared" si="31"/>
        <v>#DIV/0!</v>
      </c>
      <c r="D418" s="258">
        <f t="shared" si="36"/>
        <v>0</v>
      </c>
      <c r="E418" s="258">
        <f>0</f>
        <v>0</v>
      </c>
      <c r="F418" s="258" t="e">
        <f>C418*I351+D418*J351+E418*K351</f>
        <v>#DIV/0!</v>
      </c>
      <c r="G418" s="258" t="e">
        <f>((C418*(1-I351))-(D418*J351)+(E418*(1-K351)))*F351*G351</f>
        <v>#DIV/0!</v>
      </c>
      <c r="H418" s="261">
        <f t="shared" si="35"/>
        <v>0.94781499999999996</v>
      </c>
      <c r="I418" s="258" t="e">
        <f>G418*(1-H418)*(1-E351)</f>
        <v>#DIV/0!</v>
      </c>
      <c r="J418" s="261">
        <v>0</v>
      </c>
      <c r="K418" s="258" t="e">
        <f>G418*(1-J418)*(1-E351)</f>
        <v>#DIV/0!</v>
      </c>
    </row>
    <row r="419" spans="2:11" hidden="1" x14ac:dyDescent="0.25">
      <c r="B419" s="257">
        <v>66</v>
      </c>
      <c r="C419" s="258" t="e">
        <f t="shared" ref="C419:C453" si="37">F418</f>
        <v>#DIV/0!</v>
      </c>
      <c r="D419" s="258">
        <f t="shared" si="36"/>
        <v>0</v>
      </c>
      <c r="E419" s="258">
        <f>0</f>
        <v>0</v>
      </c>
      <c r="F419" s="258" t="e">
        <f>C419*I351+D419*J351+E419*K351</f>
        <v>#DIV/0!</v>
      </c>
      <c r="G419" s="258" t="e">
        <f>((C419*(1-I351))-(D419*J351)+(E419*(1-K351)))*F351*G351</f>
        <v>#DIV/0!</v>
      </c>
      <c r="H419" s="261">
        <f t="shared" si="35"/>
        <v>0.94781499999999996</v>
      </c>
      <c r="I419" s="258" t="e">
        <f>G419*(1-H419)*(1-E351)</f>
        <v>#DIV/0!</v>
      </c>
      <c r="J419" s="261">
        <v>0</v>
      </c>
      <c r="K419" s="258" t="e">
        <f>G419*(1-J419)*(1-E351)</f>
        <v>#DIV/0!</v>
      </c>
    </row>
    <row r="420" spans="2:11" hidden="1" x14ac:dyDescent="0.25">
      <c r="B420" s="257">
        <v>67</v>
      </c>
      <c r="C420" s="258" t="e">
        <f t="shared" si="37"/>
        <v>#DIV/0!</v>
      </c>
      <c r="D420" s="258">
        <f t="shared" si="36"/>
        <v>0</v>
      </c>
      <c r="E420" s="258">
        <f>0</f>
        <v>0</v>
      </c>
      <c r="F420" s="258" t="e">
        <f>C420*I351+D420*J351+E420*K351</f>
        <v>#DIV/0!</v>
      </c>
      <c r="G420" s="258" t="e">
        <f>((C420*(1-I351))-(D420*J351)+(E420*(1-K351)))*F351*G351</f>
        <v>#DIV/0!</v>
      </c>
      <c r="H420" s="261">
        <f t="shared" si="35"/>
        <v>0.94781499999999996</v>
      </c>
      <c r="I420" s="258" t="e">
        <f>G420*(1-H420)*(1-E351)</f>
        <v>#DIV/0!</v>
      </c>
      <c r="J420" s="261">
        <v>0</v>
      </c>
      <c r="K420" s="258" t="e">
        <f>G420*(1-J420)*(1-E351)</f>
        <v>#DIV/0!</v>
      </c>
    </row>
    <row r="421" spans="2:11" hidden="1" x14ac:dyDescent="0.25">
      <c r="B421" s="257">
        <v>68</v>
      </c>
      <c r="C421" s="258" t="e">
        <f t="shared" si="37"/>
        <v>#DIV/0!</v>
      </c>
      <c r="D421" s="258">
        <f t="shared" si="36"/>
        <v>0</v>
      </c>
      <c r="E421" s="258">
        <f>0</f>
        <v>0</v>
      </c>
      <c r="F421" s="258" t="e">
        <f>C421*I351+D421*J351+E421*K351</f>
        <v>#DIV/0!</v>
      </c>
      <c r="G421" s="258" t="e">
        <f>((C421*(1-I351))-(D421*J351)+(E421*(1-K351)))*F351*G351</f>
        <v>#DIV/0!</v>
      </c>
      <c r="H421" s="261">
        <f t="shared" si="35"/>
        <v>0.94781499999999996</v>
      </c>
      <c r="I421" s="258" t="e">
        <f>G421*(1-H421)*(1-E351)</f>
        <v>#DIV/0!</v>
      </c>
      <c r="J421" s="261">
        <v>0</v>
      </c>
      <c r="K421" s="258" t="e">
        <f>G421*(1-J421)*(1-E351)</f>
        <v>#DIV/0!</v>
      </c>
    </row>
    <row r="422" spans="2:11" hidden="1" x14ac:dyDescent="0.25">
      <c r="B422" s="257">
        <v>69</v>
      </c>
      <c r="C422" s="258" t="e">
        <f t="shared" si="37"/>
        <v>#DIV/0!</v>
      </c>
      <c r="D422" s="258">
        <f t="shared" si="36"/>
        <v>0</v>
      </c>
      <c r="E422" s="258">
        <f>0</f>
        <v>0</v>
      </c>
      <c r="F422" s="258" t="e">
        <f>C422*I351+D422*J351+E422*K351</f>
        <v>#DIV/0!</v>
      </c>
      <c r="G422" s="258" t="e">
        <f>((C422*(1-I351))-(D422*J351)+(E422*(1-K351)))*F351*G351</f>
        <v>#DIV/0!</v>
      </c>
      <c r="H422" s="261">
        <f t="shared" si="35"/>
        <v>0.94781499999999996</v>
      </c>
      <c r="I422" s="258" t="e">
        <f>G422*(1-H422)*(1-E351)</f>
        <v>#DIV/0!</v>
      </c>
      <c r="J422" s="261">
        <v>0</v>
      </c>
      <c r="K422" s="258" t="e">
        <f>G422*(1-J422)*(1-E351)</f>
        <v>#DIV/0!</v>
      </c>
    </row>
    <row r="423" spans="2:11" hidden="1" x14ac:dyDescent="0.25">
      <c r="B423" s="257">
        <v>70</v>
      </c>
      <c r="C423" s="258" t="e">
        <f t="shared" si="37"/>
        <v>#DIV/0!</v>
      </c>
      <c r="D423" s="258">
        <f t="shared" si="36"/>
        <v>0</v>
      </c>
      <c r="E423" s="258">
        <f>0</f>
        <v>0</v>
      </c>
      <c r="F423" s="258" t="e">
        <f>C423*I351+D423*J351+E423*K351</f>
        <v>#DIV/0!</v>
      </c>
      <c r="G423" s="258" t="e">
        <f>((C423*(1-I351))-(D423*J351)+(E423*(1-K351)))*F351*G351</f>
        <v>#DIV/0!</v>
      </c>
      <c r="H423" s="261">
        <f t="shared" si="35"/>
        <v>0.94781499999999996</v>
      </c>
      <c r="I423" s="258" t="e">
        <f>G423*(1-H423)*(1-E351)</f>
        <v>#DIV/0!</v>
      </c>
      <c r="J423" s="261">
        <v>0</v>
      </c>
      <c r="K423" s="258" t="e">
        <f>G423*(1-J423)*(1-E351)</f>
        <v>#DIV/0!</v>
      </c>
    </row>
    <row r="424" spans="2:11" hidden="1" x14ac:dyDescent="0.25">
      <c r="B424" s="257">
        <v>71</v>
      </c>
      <c r="C424" s="258" t="e">
        <f t="shared" si="37"/>
        <v>#DIV/0!</v>
      </c>
      <c r="D424" s="258">
        <f t="shared" si="36"/>
        <v>0</v>
      </c>
      <c r="E424" s="258">
        <f>0</f>
        <v>0</v>
      </c>
      <c r="F424" s="258" t="e">
        <f>C424*I351+D424*J351+E424*K351</f>
        <v>#DIV/0!</v>
      </c>
      <c r="G424" s="258" t="e">
        <f>((C424*(1-I351))-(D424*J351)+(E424*(1-K351)))*F351*G351</f>
        <v>#DIV/0!</v>
      </c>
      <c r="H424" s="261">
        <f t="shared" si="35"/>
        <v>0.94781499999999996</v>
      </c>
      <c r="I424" s="258" t="e">
        <f>G424*(1-H424)*(1-E351)</f>
        <v>#DIV/0!</v>
      </c>
      <c r="J424" s="261">
        <v>0</v>
      </c>
      <c r="K424" s="258" t="e">
        <f>G424*(1-J424)*(1-E351)</f>
        <v>#DIV/0!</v>
      </c>
    </row>
    <row r="425" spans="2:11" hidden="1" x14ac:dyDescent="0.25">
      <c r="B425" s="257">
        <v>72</v>
      </c>
      <c r="C425" s="258" t="e">
        <f t="shared" si="37"/>
        <v>#DIV/0!</v>
      </c>
      <c r="D425" s="258">
        <f t="shared" si="36"/>
        <v>0</v>
      </c>
      <c r="E425" s="258">
        <f>0</f>
        <v>0</v>
      </c>
      <c r="F425" s="258" t="e">
        <f>C425*I351+D425*J351+E425*K351</f>
        <v>#DIV/0!</v>
      </c>
      <c r="G425" s="258" t="e">
        <f>((C425*(1-I351))-(D425*J351)+(E425*(1-K351)))*F351*G351</f>
        <v>#DIV/0!</v>
      </c>
      <c r="H425" s="261">
        <f t="shared" si="35"/>
        <v>0.94781499999999996</v>
      </c>
      <c r="I425" s="258" t="e">
        <f>G425*(1-H425)*(1-E351)</f>
        <v>#DIV/0!</v>
      </c>
      <c r="J425" s="261">
        <v>0</v>
      </c>
      <c r="K425" s="258" t="e">
        <f>G425*(1-J425)*(1-E351)</f>
        <v>#DIV/0!</v>
      </c>
    </row>
    <row r="426" spans="2:11" hidden="1" x14ac:dyDescent="0.25">
      <c r="B426" s="257">
        <v>73</v>
      </c>
      <c r="C426" s="258" t="e">
        <f t="shared" si="37"/>
        <v>#DIV/0!</v>
      </c>
      <c r="D426" s="258">
        <f t="shared" si="36"/>
        <v>0</v>
      </c>
      <c r="E426" s="258">
        <f>0</f>
        <v>0</v>
      </c>
      <c r="F426" s="258" t="e">
        <f>C426*I351+D426*J351+E426*K351</f>
        <v>#DIV/0!</v>
      </c>
      <c r="G426" s="258" t="e">
        <f>((C426*(1-I351))-(D426*J351)+(E426*(1-K351)))*F351*G351</f>
        <v>#DIV/0!</v>
      </c>
      <c r="H426" s="261">
        <f t="shared" si="35"/>
        <v>0.94781499999999996</v>
      </c>
      <c r="I426" s="258" t="e">
        <f>G426*(1-H426)*(1-E351)</f>
        <v>#DIV/0!</v>
      </c>
      <c r="J426" s="261">
        <v>0</v>
      </c>
      <c r="K426" s="258" t="e">
        <f>G426*(1-J426)*(1-E351)</f>
        <v>#DIV/0!</v>
      </c>
    </row>
    <row r="427" spans="2:11" hidden="1" x14ac:dyDescent="0.25">
      <c r="B427" s="257">
        <v>74</v>
      </c>
      <c r="C427" s="258" t="e">
        <f t="shared" si="37"/>
        <v>#DIV/0!</v>
      </c>
      <c r="D427" s="258">
        <f t="shared" si="36"/>
        <v>0</v>
      </c>
      <c r="E427" s="258">
        <f>0</f>
        <v>0</v>
      </c>
      <c r="F427" s="258" t="e">
        <f>C427*I351+D427*J351+E427*K351</f>
        <v>#DIV/0!</v>
      </c>
      <c r="G427" s="258" t="e">
        <f>((C427*(1-I351))-(D427*J351)+(E427*(1-K351)))*F351*G351</f>
        <v>#DIV/0!</v>
      </c>
      <c r="H427" s="261">
        <f t="shared" si="35"/>
        <v>0.94781499999999996</v>
      </c>
      <c r="I427" s="258" t="e">
        <f>G427*(1-H427)*(1-E351)</f>
        <v>#DIV/0!</v>
      </c>
      <c r="J427" s="261">
        <v>0</v>
      </c>
      <c r="K427" s="258" t="e">
        <f>G427*(1-J427)*(1-E351)</f>
        <v>#DIV/0!</v>
      </c>
    </row>
    <row r="428" spans="2:11" hidden="1" x14ac:dyDescent="0.25">
      <c r="B428" s="257">
        <v>75</v>
      </c>
      <c r="C428" s="258" t="e">
        <f t="shared" si="37"/>
        <v>#DIV/0!</v>
      </c>
      <c r="D428" s="258">
        <f t="shared" si="36"/>
        <v>0</v>
      </c>
      <c r="E428" s="258">
        <f>0</f>
        <v>0</v>
      </c>
      <c r="F428" s="258" t="e">
        <f>C428*I351+D428*J351+E428*K351</f>
        <v>#DIV/0!</v>
      </c>
      <c r="G428" s="258" t="e">
        <f>((C428*(1-I351))-(D428*J351)+(E428*(1-K351)))*F351*G351</f>
        <v>#DIV/0!</v>
      </c>
      <c r="H428" s="261">
        <f t="shared" ref="H428:H453" si="38">0.95*0.9977</f>
        <v>0.94781499999999996</v>
      </c>
      <c r="I428" s="258" t="e">
        <f>G428*(1-H428)*(1-E351)</f>
        <v>#DIV/0!</v>
      </c>
      <c r="J428" s="261">
        <v>0</v>
      </c>
      <c r="K428" s="258" t="e">
        <f>G428*(1-J428)*(1-E351)</f>
        <v>#DIV/0!</v>
      </c>
    </row>
    <row r="429" spans="2:11" hidden="1" x14ac:dyDescent="0.25">
      <c r="B429" s="257">
        <v>76</v>
      </c>
      <c r="C429" s="258" t="e">
        <f t="shared" si="37"/>
        <v>#DIV/0!</v>
      </c>
      <c r="D429" s="258">
        <f t="shared" si="36"/>
        <v>0</v>
      </c>
      <c r="E429" s="258">
        <f>0</f>
        <v>0</v>
      </c>
      <c r="F429" s="258" t="e">
        <f>C429*I351+D429*J351+E429*K351</f>
        <v>#DIV/0!</v>
      </c>
      <c r="G429" s="258" t="e">
        <f>((C429*(1-I351))-(D429*J351)+(E429*(1-K351)))*F351*G351</f>
        <v>#DIV/0!</v>
      </c>
      <c r="H429" s="261">
        <f t="shared" si="38"/>
        <v>0.94781499999999996</v>
      </c>
      <c r="I429" s="258" t="e">
        <f>G429*(1-H429)*(1-E351)</f>
        <v>#DIV/0!</v>
      </c>
      <c r="J429" s="261">
        <v>0</v>
      </c>
      <c r="K429" s="258" t="e">
        <f>G429*(1-J429)*(1-E351)</f>
        <v>#DIV/0!</v>
      </c>
    </row>
    <row r="430" spans="2:11" hidden="1" x14ac:dyDescent="0.25">
      <c r="B430" s="257">
        <v>77</v>
      </c>
      <c r="C430" s="258" t="e">
        <f t="shared" si="37"/>
        <v>#DIV/0!</v>
      </c>
      <c r="D430" s="258">
        <f t="shared" si="36"/>
        <v>0</v>
      </c>
      <c r="E430" s="258">
        <f>0</f>
        <v>0</v>
      </c>
      <c r="F430" s="258" t="e">
        <f>C430*I351+D430*J351+E430*K351</f>
        <v>#DIV/0!</v>
      </c>
      <c r="G430" s="258" t="e">
        <f>((C430*(1-I351))-(D430*J351)+(E430*(1-K351)))*F351*G351</f>
        <v>#DIV/0!</v>
      </c>
      <c r="H430" s="261">
        <f t="shared" si="38"/>
        <v>0.94781499999999996</v>
      </c>
      <c r="I430" s="258" t="e">
        <f>G430*(1-H430)*(1-E351)</f>
        <v>#DIV/0!</v>
      </c>
      <c r="J430" s="261">
        <v>0</v>
      </c>
      <c r="K430" s="258" t="e">
        <f>G430*(1-J430)*(1-E351)</f>
        <v>#DIV/0!</v>
      </c>
    </row>
    <row r="431" spans="2:11" hidden="1" x14ac:dyDescent="0.25">
      <c r="B431" s="257">
        <v>78</v>
      </c>
      <c r="C431" s="258" t="e">
        <f t="shared" si="37"/>
        <v>#DIV/0!</v>
      </c>
      <c r="D431" s="258">
        <f t="shared" si="36"/>
        <v>0</v>
      </c>
      <c r="E431" s="258">
        <f>0</f>
        <v>0</v>
      </c>
      <c r="F431" s="258" t="e">
        <f>C431*I351+D431*J351+E431*K351</f>
        <v>#DIV/0!</v>
      </c>
      <c r="G431" s="258" t="e">
        <f>((C431*(1-I351))-(D431*J351)+(E431*(1-K351)))*F351*G351</f>
        <v>#DIV/0!</v>
      </c>
      <c r="H431" s="261">
        <f t="shared" si="38"/>
        <v>0.94781499999999996</v>
      </c>
      <c r="I431" s="258" t="e">
        <f>G431*(1-H431)*(1-E351)</f>
        <v>#DIV/0!</v>
      </c>
      <c r="J431" s="261">
        <v>0</v>
      </c>
      <c r="K431" s="258" t="e">
        <f>G431*(1-J431)*(1-E351)</f>
        <v>#DIV/0!</v>
      </c>
    </row>
    <row r="432" spans="2:11" hidden="1" x14ac:dyDescent="0.25">
      <c r="B432" s="257">
        <v>79</v>
      </c>
      <c r="C432" s="258" t="e">
        <f t="shared" si="37"/>
        <v>#DIV/0!</v>
      </c>
      <c r="D432" s="258">
        <f t="shared" si="36"/>
        <v>0</v>
      </c>
      <c r="E432" s="258">
        <f>0</f>
        <v>0</v>
      </c>
      <c r="F432" s="258" t="e">
        <f>C432*I351+D432*J351+E432*K351</f>
        <v>#DIV/0!</v>
      </c>
      <c r="G432" s="258" t="e">
        <f>((C432*(1-I351))-(D432*J351)+(E432*(1-K351)))*F351*G351</f>
        <v>#DIV/0!</v>
      </c>
      <c r="H432" s="261">
        <f t="shared" si="38"/>
        <v>0.94781499999999996</v>
      </c>
      <c r="I432" s="258" t="e">
        <f>G432*(1-H432)*(1-E351)</f>
        <v>#DIV/0!</v>
      </c>
      <c r="J432" s="261">
        <v>0</v>
      </c>
      <c r="K432" s="258" t="e">
        <f>G432*(1-J432)*(1-E351)</f>
        <v>#DIV/0!</v>
      </c>
    </row>
    <row r="433" spans="2:11" hidden="1" x14ac:dyDescent="0.25">
      <c r="B433" s="257">
        <v>80</v>
      </c>
      <c r="C433" s="258" t="e">
        <f t="shared" si="37"/>
        <v>#DIV/0!</v>
      </c>
      <c r="D433" s="258">
        <f t="shared" si="36"/>
        <v>0</v>
      </c>
      <c r="E433" s="258">
        <f>0</f>
        <v>0</v>
      </c>
      <c r="F433" s="258" t="e">
        <f>C433*I351+D433*J351+E433*K351</f>
        <v>#DIV/0!</v>
      </c>
      <c r="G433" s="258" t="e">
        <f>((C433*(1-I351))-(D433*J351)+(E433*(1-K351)))*F351*G351</f>
        <v>#DIV/0!</v>
      </c>
      <c r="H433" s="261">
        <f t="shared" si="38"/>
        <v>0.94781499999999996</v>
      </c>
      <c r="I433" s="258" t="e">
        <f>G433*(1-H433)*(1-E351)</f>
        <v>#DIV/0!</v>
      </c>
      <c r="J433" s="261">
        <v>0</v>
      </c>
      <c r="K433" s="258" t="e">
        <f>G433*(1-J433)*(1-E351)</f>
        <v>#DIV/0!</v>
      </c>
    </row>
    <row r="434" spans="2:11" hidden="1" x14ac:dyDescent="0.25">
      <c r="B434" s="257">
        <v>81</v>
      </c>
      <c r="C434" s="258" t="e">
        <f t="shared" si="37"/>
        <v>#DIV/0!</v>
      </c>
      <c r="D434" s="258">
        <f t="shared" si="36"/>
        <v>0</v>
      </c>
      <c r="E434" s="258">
        <f>0</f>
        <v>0</v>
      </c>
      <c r="F434" s="258" t="e">
        <f>C434*I351+D434*J351+E434*K351</f>
        <v>#DIV/0!</v>
      </c>
      <c r="G434" s="258" t="e">
        <f>((C434*(1-I351))-(D434*J351)+(E434*(1-K351)))*F351*G351</f>
        <v>#DIV/0!</v>
      </c>
      <c r="H434" s="261">
        <f t="shared" si="38"/>
        <v>0.94781499999999996</v>
      </c>
      <c r="I434" s="258" t="e">
        <f>G434*(1-H434)*(1-E351)</f>
        <v>#DIV/0!</v>
      </c>
      <c r="J434" s="261">
        <v>0</v>
      </c>
      <c r="K434" s="258" t="e">
        <f>G434*(1-J434)*(1-E351)</f>
        <v>#DIV/0!</v>
      </c>
    </row>
    <row r="435" spans="2:11" hidden="1" x14ac:dyDescent="0.25">
      <c r="B435" s="257">
        <v>82</v>
      </c>
      <c r="C435" s="258" t="e">
        <f t="shared" si="37"/>
        <v>#DIV/0!</v>
      </c>
      <c r="D435" s="258">
        <f t="shared" si="36"/>
        <v>0</v>
      </c>
      <c r="E435" s="258">
        <f>0</f>
        <v>0</v>
      </c>
      <c r="F435" s="258" t="e">
        <f>C435*I351+D435*J351+E435*K351</f>
        <v>#DIV/0!</v>
      </c>
      <c r="G435" s="258" t="e">
        <f>((C435*(1-I351))-(D435*J351)+(E435*(1-K351)))*F351*G351</f>
        <v>#DIV/0!</v>
      </c>
      <c r="H435" s="261">
        <f t="shared" si="38"/>
        <v>0.94781499999999996</v>
      </c>
      <c r="I435" s="258" t="e">
        <f>G435*(1-H435)*(1-E351)</f>
        <v>#DIV/0!</v>
      </c>
      <c r="J435" s="261">
        <v>0</v>
      </c>
      <c r="K435" s="258" t="e">
        <f>G435*(1-J435)*(1-E351)</f>
        <v>#DIV/0!</v>
      </c>
    </row>
    <row r="436" spans="2:11" hidden="1" x14ac:dyDescent="0.25">
      <c r="B436" s="257">
        <v>83</v>
      </c>
      <c r="C436" s="258" t="e">
        <f t="shared" si="37"/>
        <v>#DIV/0!</v>
      </c>
      <c r="D436" s="258">
        <f t="shared" si="36"/>
        <v>0</v>
      </c>
      <c r="E436" s="258">
        <f>0</f>
        <v>0</v>
      </c>
      <c r="F436" s="258" t="e">
        <f>C436*I351+D436*J351+E436*K351</f>
        <v>#DIV/0!</v>
      </c>
      <c r="G436" s="258" t="e">
        <f>((C436*(1-I351))-(D436*J351)+(E436*(1-K351)))*F351*G351</f>
        <v>#DIV/0!</v>
      </c>
      <c r="H436" s="261">
        <f t="shared" si="38"/>
        <v>0.94781499999999996</v>
      </c>
      <c r="I436" s="258" t="e">
        <f>G436*(1-H436)*(1-E351)</f>
        <v>#DIV/0!</v>
      </c>
      <c r="J436" s="261">
        <v>0</v>
      </c>
      <c r="K436" s="258" t="e">
        <f>G436*(1-J436)*(1-E351)</f>
        <v>#DIV/0!</v>
      </c>
    </row>
    <row r="437" spans="2:11" hidden="1" x14ac:dyDescent="0.25">
      <c r="B437" s="257">
        <v>84</v>
      </c>
      <c r="C437" s="258" t="e">
        <f t="shared" si="37"/>
        <v>#DIV/0!</v>
      </c>
      <c r="D437" s="258">
        <f t="shared" ref="D437:D453" si="39">E436</f>
        <v>0</v>
      </c>
      <c r="E437" s="258">
        <f>0</f>
        <v>0</v>
      </c>
      <c r="F437" s="258" t="e">
        <f>C437*I351+D437*J351+E437*K351</f>
        <v>#DIV/0!</v>
      </c>
      <c r="G437" s="258" t="e">
        <f>((C437*(1-I351))-(D437*J351)+(E437*(1-K351)))*F351*G351</f>
        <v>#DIV/0!</v>
      </c>
      <c r="H437" s="261">
        <f t="shared" si="38"/>
        <v>0.94781499999999996</v>
      </c>
      <c r="I437" s="258" t="e">
        <f>G437*(1-H437)*(1-E351)</f>
        <v>#DIV/0!</v>
      </c>
      <c r="J437" s="261">
        <v>0</v>
      </c>
      <c r="K437" s="258" t="e">
        <f>G437*(1-J437)*(1-E351)</f>
        <v>#DIV/0!</v>
      </c>
    </row>
    <row r="438" spans="2:11" hidden="1" x14ac:dyDescent="0.25">
      <c r="B438" s="257">
        <v>85</v>
      </c>
      <c r="C438" s="258" t="e">
        <f t="shared" si="37"/>
        <v>#DIV/0!</v>
      </c>
      <c r="D438" s="258">
        <f t="shared" si="39"/>
        <v>0</v>
      </c>
      <c r="E438" s="258">
        <f>0</f>
        <v>0</v>
      </c>
      <c r="F438" s="258" t="e">
        <f>C438*I351+D438*J351+E438*K351</f>
        <v>#DIV/0!</v>
      </c>
      <c r="G438" s="258" t="e">
        <f>((C438*(1-I351))-(D438*J351)+(E438*(1-K351)))*F351*G351</f>
        <v>#DIV/0!</v>
      </c>
      <c r="H438" s="261">
        <f t="shared" si="38"/>
        <v>0.94781499999999996</v>
      </c>
      <c r="I438" s="258" t="e">
        <f>G438*(1-H438)*(1-E351)</f>
        <v>#DIV/0!</v>
      </c>
      <c r="J438" s="261">
        <v>0</v>
      </c>
      <c r="K438" s="258" t="e">
        <f>G438*(1-J438)*(1-E351)</f>
        <v>#DIV/0!</v>
      </c>
    </row>
    <row r="439" spans="2:11" hidden="1" x14ac:dyDescent="0.25">
      <c r="B439" s="257">
        <v>86</v>
      </c>
      <c r="C439" s="258" t="e">
        <f t="shared" si="37"/>
        <v>#DIV/0!</v>
      </c>
      <c r="D439" s="258">
        <f t="shared" si="39"/>
        <v>0</v>
      </c>
      <c r="E439" s="258">
        <f>0</f>
        <v>0</v>
      </c>
      <c r="F439" s="258" t="e">
        <f>C439*I351+D439*J351+E439*K351</f>
        <v>#DIV/0!</v>
      </c>
      <c r="G439" s="258" t="e">
        <f>((C439*(1-I351))-(D439*J351)+(E439*(1-K351)))*F351*G351</f>
        <v>#DIV/0!</v>
      </c>
      <c r="H439" s="261">
        <f t="shared" si="38"/>
        <v>0.94781499999999996</v>
      </c>
      <c r="I439" s="258" t="e">
        <f>G439*(1-H439)*(1-E351)</f>
        <v>#DIV/0!</v>
      </c>
      <c r="J439" s="261">
        <v>0</v>
      </c>
      <c r="K439" s="258" t="e">
        <f>G439*(1-J439)*(1-E351)</f>
        <v>#DIV/0!</v>
      </c>
    </row>
    <row r="440" spans="2:11" hidden="1" x14ac:dyDescent="0.25">
      <c r="B440" s="257">
        <v>87</v>
      </c>
      <c r="C440" s="258" t="e">
        <f t="shared" si="37"/>
        <v>#DIV/0!</v>
      </c>
      <c r="D440" s="258">
        <f t="shared" si="39"/>
        <v>0</v>
      </c>
      <c r="E440" s="258">
        <f>0</f>
        <v>0</v>
      </c>
      <c r="F440" s="258" t="e">
        <f>C440*I351+D440*J351+E440*K351</f>
        <v>#DIV/0!</v>
      </c>
      <c r="G440" s="258" t="e">
        <f>((C440*(1-I351))-(D440*J351)+(E440*(1-K351)))*F351*G351</f>
        <v>#DIV/0!</v>
      </c>
      <c r="H440" s="261">
        <f t="shared" si="38"/>
        <v>0.94781499999999996</v>
      </c>
      <c r="I440" s="258" t="e">
        <f>G440*(1-H440)*(1-E351)</f>
        <v>#DIV/0!</v>
      </c>
      <c r="J440" s="261">
        <v>0</v>
      </c>
      <c r="K440" s="258" t="e">
        <f>G440*(1-J440)*(1-E351)</f>
        <v>#DIV/0!</v>
      </c>
    </row>
    <row r="441" spans="2:11" hidden="1" x14ac:dyDescent="0.25">
      <c r="B441" s="257">
        <v>88</v>
      </c>
      <c r="C441" s="258" t="e">
        <f t="shared" si="37"/>
        <v>#DIV/0!</v>
      </c>
      <c r="D441" s="258">
        <f t="shared" si="39"/>
        <v>0</v>
      </c>
      <c r="E441" s="258">
        <f>0</f>
        <v>0</v>
      </c>
      <c r="F441" s="258" t="e">
        <f>C441*I351+D441*J351+E441*K351</f>
        <v>#DIV/0!</v>
      </c>
      <c r="G441" s="258" t="e">
        <f>((C441*(1-I351))-(D441*J351)+(E441*(1-K351)))*F351*G351</f>
        <v>#DIV/0!</v>
      </c>
      <c r="H441" s="261">
        <f t="shared" si="38"/>
        <v>0.94781499999999996</v>
      </c>
      <c r="I441" s="258" t="e">
        <f>G441*(1-H441)*(1-E351)</f>
        <v>#DIV/0!</v>
      </c>
      <c r="J441" s="261">
        <v>0</v>
      </c>
      <c r="K441" s="258" t="e">
        <f>G441*(1-J441)*(1-E351)</f>
        <v>#DIV/0!</v>
      </c>
    </row>
    <row r="442" spans="2:11" hidden="1" x14ac:dyDescent="0.25">
      <c r="B442" s="257">
        <v>89</v>
      </c>
      <c r="C442" s="258" t="e">
        <f t="shared" si="37"/>
        <v>#DIV/0!</v>
      </c>
      <c r="D442" s="258">
        <f t="shared" si="39"/>
        <v>0</v>
      </c>
      <c r="E442" s="258">
        <f>0</f>
        <v>0</v>
      </c>
      <c r="F442" s="258" t="e">
        <f>C442*I351+D442*J351+E442*K351</f>
        <v>#DIV/0!</v>
      </c>
      <c r="G442" s="258" t="e">
        <f>((C442*(1-I351))-(D442*J351)+(E442*(1-K351)))*F351*G351</f>
        <v>#DIV/0!</v>
      </c>
      <c r="H442" s="261">
        <f t="shared" si="38"/>
        <v>0.94781499999999996</v>
      </c>
      <c r="I442" s="258" t="e">
        <f>G442*(1-H442)*(1-E351)</f>
        <v>#DIV/0!</v>
      </c>
      <c r="J442" s="261">
        <v>0</v>
      </c>
      <c r="K442" s="258" t="e">
        <f>G442*(1-J442)*(1-E351)</f>
        <v>#DIV/0!</v>
      </c>
    </row>
    <row r="443" spans="2:11" hidden="1" x14ac:dyDescent="0.25">
      <c r="B443" s="257">
        <v>90</v>
      </c>
      <c r="C443" s="258" t="e">
        <f t="shared" si="37"/>
        <v>#DIV/0!</v>
      </c>
      <c r="D443" s="258">
        <f t="shared" si="39"/>
        <v>0</v>
      </c>
      <c r="E443" s="258">
        <f>0</f>
        <v>0</v>
      </c>
      <c r="F443" s="258" t="e">
        <f>C443*I351+D443*J351+E443*K351</f>
        <v>#DIV/0!</v>
      </c>
      <c r="G443" s="258" t="e">
        <f>((C443*(1-I351))-(D443*J351)+(E443*(1-K351)))*F351*G351</f>
        <v>#DIV/0!</v>
      </c>
      <c r="H443" s="261">
        <f t="shared" si="38"/>
        <v>0.94781499999999996</v>
      </c>
      <c r="I443" s="258" t="e">
        <f>G443*(1-H443)*(1-E351)</f>
        <v>#DIV/0!</v>
      </c>
      <c r="J443" s="261">
        <v>0</v>
      </c>
      <c r="K443" s="258" t="e">
        <f>G443*(1-J443)*(1-E351)</f>
        <v>#DIV/0!</v>
      </c>
    </row>
    <row r="444" spans="2:11" hidden="1" x14ac:dyDescent="0.25">
      <c r="B444" s="257">
        <v>91</v>
      </c>
      <c r="C444" s="258" t="e">
        <f t="shared" si="37"/>
        <v>#DIV/0!</v>
      </c>
      <c r="D444" s="258">
        <f t="shared" si="39"/>
        <v>0</v>
      </c>
      <c r="E444" s="258">
        <f>0</f>
        <v>0</v>
      </c>
      <c r="F444" s="258" t="e">
        <f>C444*I351+D444*J351+E444*K351</f>
        <v>#DIV/0!</v>
      </c>
      <c r="G444" s="258" t="e">
        <f>((C444*(1-I351))-(D444*J351)+(E444*(1-K351)))*F351*G351</f>
        <v>#DIV/0!</v>
      </c>
      <c r="H444" s="261">
        <f t="shared" si="38"/>
        <v>0.94781499999999996</v>
      </c>
      <c r="I444" s="258" t="e">
        <f>G444*(1-H444)*(1-E351)</f>
        <v>#DIV/0!</v>
      </c>
      <c r="J444" s="261">
        <v>0</v>
      </c>
      <c r="K444" s="258" t="e">
        <f>G444*(1-J444)*(1-E351)</f>
        <v>#DIV/0!</v>
      </c>
    </row>
    <row r="445" spans="2:11" hidden="1" x14ac:dyDescent="0.25">
      <c r="B445" s="257">
        <v>92</v>
      </c>
      <c r="C445" s="258" t="e">
        <f t="shared" si="37"/>
        <v>#DIV/0!</v>
      </c>
      <c r="D445" s="258">
        <f t="shared" si="39"/>
        <v>0</v>
      </c>
      <c r="E445" s="258">
        <f>0</f>
        <v>0</v>
      </c>
      <c r="F445" s="258" t="e">
        <f>C445*I351+D445*J351+E445*K351</f>
        <v>#DIV/0!</v>
      </c>
      <c r="G445" s="258" t="e">
        <f>((C445*(1-I351))-(D445*J351)+(E445*(1-K351)))*F351*G351</f>
        <v>#DIV/0!</v>
      </c>
      <c r="H445" s="261">
        <f t="shared" si="38"/>
        <v>0.94781499999999996</v>
      </c>
      <c r="I445" s="258" t="e">
        <f>G445*(1-H445)*(1-E351)</f>
        <v>#DIV/0!</v>
      </c>
      <c r="J445" s="261">
        <v>0</v>
      </c>
      <c r="K445" s="258" t="e">
        <f>G445*(1-J445)*(1-E351)</f>
        <v>#DIV/0!</v>
      </c>
    </row>
    <row r="446" spans="2:11" hidden="1" x14ac:dyDescent="0.25">
      <c r="B446" s="257">
        <v>93</v>
      </c>
      <c r="C446" s="258" t="e">
        <f t="shared" si="37"/>
        <v>#DIV/0!</v>
      </c>
      <c r="D446" s="258">
        <f t="shared" si="39"/>
        <v>0</v>
      </c>
      <c r="E446" s="258">
        <f>0</f>
        <v>0</v>
      </c>
      <c r="F446" s="258" t="e">
        <f>C446*I351+D446*J351+E446*K351</f>
        <v>#DIV/0!</v>
      </c>
      <c r="G446" s="258" t="e">
        <f>((C446*(1-I351))-(D446*J351)+(E446*(1-K351)))*F351*G351</f>
        <v>#DIV/0!</v>
      </c>
      <c r="H446" s="261">
        <f t="shared" si="38"/>
        <v>0.94781499999999996</v>
      </c>
      <c r="I446" s="258" t="e">
        <f>G446*(1-H446)*(1-E351)</f>
        <v>#DIV/0!</v>
      </c>
      <c r="J446" s="261">
        <v>0</v>
      </c>
      <c r="K446" s="258" t="e">
        <f>G446*(1-J446)*(1-E351)</f>
        <v>#DIV/0!</v>
      </c>
    </row>
    <row r="447" spans="2:11" hidden="1" x14ac:dyDescent="0.25">
      <c r="B447" s="257">
        <v>94</v>
      </c>
      <c r="C447" s="258" t="e">
        <f t="shared" si="37"/>
        <v>#DIV/0!</v>
      </c>
      <c r="D447" s="258">
        <f t="shared" si="39"/>
        <v>0</v>
      </c>
      <c r="E447" s="258">
        <f>0</f>
        <v>0</v>
      </c>
      <c r="F447" s="258" t="e">
        <f>C447*I351+D447*J351+E447*K351</f>
        <v>#DIV/0!</v>
      </c>
      <c r="G447" s="258" t="e">
        <f>((C447*(1-I351))-(D447*J351)+(E447*(1-K351)))*F351*G351</f>
        <v>#DIV/0!</v>
      </c>
      <c r="H447" s="261">
        <f t="shared" si="38"/>
        <v>0.94781499999999996</v>
      </c>
      <c r="I447" s="258" t="e">
        <f>G447*(1-H447)*(1-E351)</f>
        <v>#DIV/0!</v>
      </c>
      <c r="J447" s="261">
        <v>0</v>
      </c>
      <c r="K447" s="258" t="e">
        <f>G447*(1-J447)*(1-E351)</f>
        <v>#DIV/0!</v>
      </c>
    </row>
    <row r="448" spans="2:11" hidden="1" x14ac:dyDescent="0.25">
      <c r="B448" s="257">
        <v>95</v>
      </c>
      <c r="C448" s="258" t="e">
        <f t="shared" si="37"/>
        <v>#DIV/0!</v>
      </c>
      <c r="D448" s="258">
        <f t="shared" si="39"/>
        <v>0</v>
      </c>
      <c r="E448" s="258">
        <f>0</f>
        <v>0</v>
      </c>
      <c r="F448" s="258" t="e">
        <f>C448*I351+D448*J351+E448*K351</f>
        <v>#DIV/0!</v>
      </c>
      <c r="G448" s="258" t="e">
        <f>((C448*(1-I351))-(D448*J351)+(E448*(1-K351)))*F351*G351</f>
        <v>#DIV/0!</v>
      </c>
      <c r="H448" s="261">
        <f t="shared" si="38"/>
        <v>0.94781499999999996</v>
      </c>
      <c r="I448" s="258" t="e">
        <f>G448*(1-H448)*(1-E351)</f>
        <v>#DIV/0!</v>
      </c>
      <c r="J448" s="261">
        <v>0</v>
      </c>
      <c r="K448" s="258" t="e">
        <f>G448*(1-J448)*(1-E351)</f>
        <v>#DIV/0!</v>
      </c>
    </row>
    <row r="449" spans="2:11" hidden="1" x14ac:dyDescent="0.25">
      <c r="B449" s="257">
        <v>96</v>
      </c>
      <c r="C449" s="258" t="e">
        <f t="shared" si="37"/>
        <v>#DIV/0!</v>
      </c>
      <c r="D449" s="258">
        <f t="shared" si="39"/>
        <v>0</v>
      </c>
      <c r="E449" s="258">
        <f>0</f>
        <v>0</v>
      </c>
      <c r="F449" s="258" t="e">
        <f>C449*I351+D449*J351+E449*K351</f>
        <v>#DIV/0!</v>
      </c>
      <c r="G449" s="258" t="e">
        <f>((C449*(1-I351))-(D449*J351)+(E449*(1-K351)))*F351*G351</f>
        <v>#DIV/0!</v>
      </c>
      <c r="H449" s="261">
        <f t="shared" si="38"/>
        <v>0.94781499999999996</v>
      </c>
      <c r="I449" s="258" t="e">
        <f>G449*(1-H449)*(1-E351)</f>
        <v>#DIV/0!</v>
      </c>
      <c r="J449" s="261">
        <v>0</v>
      </c>
      <c r="K449" s="258" t="e">
        <f>G449*(1-J449)*(1-E351)</f>
        <v>#DIV/0!</v>
      </c>
    </row>
    <row r="450" spans="2:11" hidden="1" x14ac:dyDescent="0.25">
      <c r="B450" s="257">
        <v>97</v>
      </c>
      <c r="C450" s="258" t="e">
        <f t="shared" si="37"/>
        <v>#DIV/0!</v>
      </c>
      <c r="D450" s="258">
        <f t="shared" si="39"/>
        <v>0</v>
      </c>
      <c r="E450" s="258">
        <f>0</f>
        <v>0</v>
      </c>
      <c r="F450" s="258" t="e">
        <f>C450*I351+D450*J351+E450*K351</f>
        <v>#DIV/0!</v>
      </c>
      <c r="G450" s="258" t="e">
        <f>((C450*(1-I351))-(D450*J351)+(E450*(1-K351)))*F351*G351</f>
        <v>#DIV/0!</v>
      </c>
      <c r="H450" s="261">
        <f t="shared" si="38"/>
        <v>0.94781499999999996</v>
      </c>
      <c r="I450" s="258" t="e">
        <f>G450*(1-H450)*(1-E351)</f>
        <v>#DIV/0!</v>
      </c>
      <c r="J450" s="261">
        <v>0</v>
      </c>
      <c r="K450" s="258" t="e">
        <f>G450*(1-J450)*(1-E351)</f>
        <v>#DIV/0!</v>
      </c>
    </row>
    <row r="451" spans="2:11" hidden="1" x14ac:dyDescent="0.25">
      <c r="B451" s="257">
        <v>98</v>
      </c>
      <c r="C451" s="258" t="e">
        <f t="shared" si="37"/>
        <v>#DIV/0!</v>
      </c>
      <c r="D451" s="258">
        <f t="shared" si="39"/>
        <v>0</v>
      </c>
      <c r="E451" s="258">
        <f>0</f>
        <v>0</v>
      </c>
      <c r="F451" s="258" t="e">
        <f>C451*I351+D451*J351+E451*K351</f>
        <v>#DIV/0!</v>
      </c>
      <c r="G451" s="258" t="e">
        <f>((C451*(1-I351))-(D451*J351)+(E451*(1-K351)))*F351*G351</f>
        <v>#DIV/0!</v>
      </c>
      <c r="H451" s="261">
        <f t="shared" si="38"/>
        <v>0.94781499999999996</v>
      </c>
      <c r="I451" s="258" t="e">
        <f>G451*(1-H451)*(1-E351)</f>
        <v>#DIV/0!</v>
      </c>
      <c r="J451" s="261">
        <v>0</v>
      </c>
      <c r="K451" s="258" t="e">
        <f>G451*(1-J451)*(1-E351)</f>
        <v>#DIV/0!</v>
      </c>
    </row>
    <row r="452" spans="2:11" hidden="1" x14ac:dyDescent="0.25">
      <c r="B452" s="257">
        <v>99</v>
      </c>
      <c r="C452" s="258" t="e">
        <f t="shared" si="37"/>
        <v>#DIV/0!</v>
      </c>
      <c r="D452" s="258">
        <f t="shared" si="39"/>
        <v>0</v>
      </c>
      <c r="E452" s="258">
        <f>0</f>
        <v>0</v>
      </c>
      <c r="F452" s="258" t="e">
        <f>C452*I351+D452*J351+E452*K351</f>
        <v>#DIV/0!</v>
      </c>
      <c r="G452" s="258" t="e">
        <f>((C452*(1-I351))-(D452*J351)+(E452*(1-K351)))*F351*G351</f>
        <v>#DIV/0!</v>
      </c>
      <c r="H452" s="261">
        <f t="shared" si="38"/>
        <v>0.94781499999999996</v>
      </c>
      <c r="I452" s="258" t="e">
        <f>G452*(1-H452)*(1-E351)</f>
        <v>#DIV/0!</v>
      </c>
      <c r="J452" s="261">
        <v>0</v>
      </c>
      <c r="K452" s="258" t="e">
        <f>G452*(1-J452)*(1-E351)</f>
        <v>#DIV/0!</v>
      </c>
    </row>
    <row r="453" spans="2:11" x14ac:dyDescent="0.25">
      <c r="B453" s="262">
        <v>100</v>
      </c>
      <c r="C453" s="263" t="e">
        <f t="shared" si="37"/>
        <v>#DIV/0!</v>
      </c>
      <c r="D453" s="263">
        <f t="shared" si="39"/>
        <v>0</v>
      </c>
      <c r="E453" s="263">
        <f>0</f>
        <v>0</v>
      </c>
      <c r="F453" s="263" t="e">
        <f>C453*I351+D453*J351+E453*K351</f>
        <v>#DIV/0!</v>
      </c>
      <c r="G453" s="258" t="e">
        <f>((C453*(1-I351))-(D453*J351)+(E453*(1-K351)))*F351*G351</f>
        <v>#DIV/0!</v>
      </c>
      <c r="H453" s="264">
        <f t="shared" si="38"/>
        <v>0.94781499999999996</v>
      </c>
      <c r="I453" s="263" t="e">
        <f>G453*(1-H453)*(1-E351)</f>
        <v>#DIV/0!</v>
      </c>
      <c r="J453" s="261">
        <v>0</v>
      </c>
      <c r="K453" s="258" t="e">
        <f>G453*(1-J453)*(1-E351)</f>
        <v>#DIV/0!</v>
      </c>
    </row>
    <row r="454" spans="2:11" x14ac:dyDescent="0.25">
      <c r="B454" s="463" t="s">
        <v>148</v>
      </c>
      <c r="C454" s="463"/>
      <c r="D454" s="463"/>
      <c r="E454" s="463"/>
      <c r="F454" s="463"/>
      <c r="G454" s="265" t="e">
        <f>SUM(G354:G453)</f>
        <v>#DIV/0!</v>
      </c>
      <c r="H454" s="269"/>
      <c r="I454" s="268" t="e">
        <f>SUM(I354:I453)</f>
        <v>#DIV/0!</v>
      </c>
      <c r="J454" s="266"/>
      <c r="K454" s="265" t="e">
        <f>SUM(K354:K453)</f>
        <v>#DIV/0!</v>
      </c>
    </row>
  </sheetData>
  <mergeCells count="29">
    <mergeCell ref="B133:F133"/>
    <mergeCell ref="B242:K242"/>
    <mergeCell ref="B245:G245"/>
    <mergeCell ref="H245:I245"/>
    <mergeCell ref="J245:K245"/>
    <mergeCell ref="B136:B137"/>
    <mergeCell ref="B454:F454"/>
    <mergeCell ref="B31:G31"/>
    <mergeCell ref="H31:I31"/>
    <mergeCell ref="B28:K28"/>
    <mergeCell ref="B349:K349"/>
    <mergeCell ref="B352:G352"/>
    <mergeCell ref="H352:I352"/>
    <mergeCell ref="J352:K352"/>
    <mergeCell ref="B29:B30"/>
    <mergeCell ref="J31:K31"/>
    <mergeCell ref="J138:K138"/>
    <mergeCell ref="B240:F240"/>
    <mergeCell ref="B347:F347"/>
    <mergeCell ref="B135:K135"/>
    <mergeCell ref="B138:G138"/>
    <mergeCell ref="H138:I138"/>
    <mergeCell ref="B4:I4"/>
    <mergeCell ref="C5:D5"/>
    <mergeCell ref="E5:I5"/>
    <mergeCell ref="B19:F19"/>
    <mergeCell ref="E20:F20"/>
    <mergeCell ref="B18:I18"/>
    <mergeCell ref="G19:I19"/>
  </mergeCells>
  <phoneticPr fontId="49" type="noConversion"/>
  <hyperlinks>
    <hyperlink ref="B19:F19" r:id="rId1" display="Method for Estimating Greenhouse Gas Emission Reductions from Diversion of Organic Waste from Landfills to Compost Facilities. CARB. 2017" xr:uid="{EBB09889-34CA-4869-8F02-CFD6DCDBEC37}"/>
    <hyperlink ref="C5:D5" r:id="rId2" display="CalRecycle (2022). 2021 Disposal Facility-based Characterization of Solid Waste in California" xr:uid="{02963DE3-2894-4B3D-A5D7-BF479599AA81}"/>
    <hyperlink ref="E5:I5" r:id="rId3" display="U.S. EPA (2020). Documentation for Greenhouse Gas Emission and Energy Factors Used in the Waste Reduction Model (WARM). Management Practices Chapters" xr:uid="{26B95683-C3D6-41A7-993C-0E838339332C}"/>
    <hyperlink ref="G19:I19" r:id="rId4" display="tier1-ow-calculator-corrected (CA-GREET3.0)" xr:uid="{FB276741-64EF-4F7C-A67F-11C2E231FAC0}"/>
  </hyperlinks>
  <pageMargins left="0.7" right="0.7" top="0.75" bottom="0.75" header="0.3" footer="0.3"/>
  <pageSetup orientation="portrait" r:id="rId5"/>
  <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CA_GREET">
    <tabColor rgb="FFB5E0E1"/>
  </sheetPr>
  <dimension ref="B1:N71"/>
  <sheetViews>
    <sheetView showGridLines="0" tabSelected="1" zoomScale="90" zoomScaleNormal="90" workbookViewId="0">
      <pane ySplit="1" topLeftCell="A24" activePane="bottomLeft" state="frozen"/>
      <selection pane="bottomLeft" activeCell="G19" sqref="G19"/>
    </sheetView>
  </sheetViews>
  <sheetFormatPr defaultColWidth="53.5703125" defaultRowHeight="15" x14ac:dyDescent="0.25"/>
  <cols>
    <col min="1" max="1" width="5.7109375" style="77" customWidth="1"/>
    <col min="2" max="2" width="28" style="77" customWidth="1"/>
    <col min="3" max="3" width="28.5703125" style="77" bestFit="1" customWidth="1"/>
    <col min="4" max="4" width="39.28515625" style="77" bestFit="1" customWidth="1"/>
    <col min="5" max="5" width="12.28515625" style="77" customWidth="1"/>
    <col min="6" max="6" width="24.140625" style="123" bestFit="1" customWidth="1"/>
    <col min="7" max="7" width="12" style="77" bestFit="1" customWidth="1"/>
    <col min="8" max="8" width="23.42578125" style="77" bestFit="1" customWidth="1"/>
    <col min="9" max="11" width="9.28515625" style="77" bestFit="1" customWidth="1"/>
    <col min="12" max="12" width="8.7109375" style="77" bestFit="1" customWidth="1"/>
    <col min="13" max="13" width="12.7109375" style="77" bestFit="1" customWidth="1"/>
    <col min="14" max="14" width="37.85546875" style="77" bestFit="1" customWidth="1"/>
    <col min="15" max="15" width="23" style="77" bestFit="1" customWidth="1"/>
    <col min="16" max="16" width="11.28515625" style="77" bestFit="1" customWidth="1"/>
    <col min="17" max="17" width="11.85546875" style="77" bestFit="1" customWidth="1"/>
    <col min="18" max="18" width="11.28515625" style="77" bestFit="1" customWidth="1"/>
    <col min="19" max="19" width="14.42578125" style="77" bestFit="1" customWidth="1"/>
    <col min="20" max="16384" width="53.5703125" style="77"/>
  </cols>
  <sheetData>
    <row r="1" spans="2:14" ht="30" customHeight="1" x14ac:dyDescent="0.25"/>
    <row r="2" spans="2:14" s="1" customFormat="1" ht="30" customHeight="1" x14ac:dyDescent="0.25">
      <c r="D2" s="27"/>
    </row>
    <row r="3" spans="2:14" s="1" customFormat="1" ht="10.5" customHeight="1" x14ac:dyDescent="0.25">
      <c r="D3" s="27"/>
    </row>
    <row r="4" spans="2:14" ht="18.75" x14ac:dyDescent="0.25">
      <c r="B4" s="415" t="s">
        <v>331</v>
      </c>
      <c r="C4" s="415"/>
      <c r="D4" s="415"/>
      <c r="E4" s="415"/>
      <c r="F4" s="415"/>
      <c r="H4" s="422" t="s">
        <v>152</v>
      </c>
      <c r="I4" s="477"/>
      <c r="J4" s="477"/>
      <c r="K4" s="477"/>
      <c r="L4" s="477"/>
      <c r="M4" s="477"/>
      <c r="N4" s="423"/>
    </row>
    <row r="5" spans="2:14" ht="15.75" x14ac:dyDescent="0.25">
      <c r="B5" s="200" t="s">
        <v>64</v>
      </c>
      <c r="C5" s="200" t="s">
        <v>153</v>
      </c>
      <c r="D5" s="200" t="s">
        <v>65</v>
      </c>
      <c r="E5" s="214" t="s">
        <v>66</v>
      </c>
      <c r="F5" s="270" t="s">
        <v>67</v>
      </c>
      <c r="H5" s="200" t="s">
        <v>154</v>
      </c>
      <c r="I5" s="200" t="s">
        <v>155</v>
      </c>
      <c r="J5" s="200" t="s">
        <v>156</v>
      </c>
      <c r="K5" s="271" t="s">
        <v>214</v>
      </c>
      <c r="L5" s="200" t="s">
        <v>157</v>
      </c>
      <c r="M5" s="200" t="s">
        <v>198</v>
      </c>
      <c r="N5" s="200" t="s">
        <v>215</v>
      </c>
    </row>
    <row r="6" spans="2:14" ht="15.75" x14ac:dyDescent="0.2">
      <c r="B6" s="418" t="s">
        <v>158</v>
      </c>
      <c r="C6" s="480" t="s">
        <v>71</v>
      </c>
      <c r="D6" s="85" t="s">
        <v>159</v>
      </c>
      <c r="E6" s="272">
        <v>1.0151589649499999</v>
      </c>
      <c r="F6" s="124" t="s">
        <v>290</v>
      </c>
      <c r="H6" s="85" t="s">
        <v>271</v>
      </c>
      <c r="I6" s="273">
        <v>1000</v>
      </c>
      <c r="J6" s="273">
        <v>1000000</v>
      </c>
      <c r="K6" s="273">
        <v>3600</v>
      </c>
      <c r="L6" s="273">
        <f>Wh2J*10^3</f>
        <v>3600000</v>
      </c>
      <c r="M6" s="273">
        <v>1055.05585</v>
      </c>
      <c r="N6" s="274">
        <f>btu2j*10^6</f>
        <v>1055055850</v>
      </c>
    </row>
    <row r="7" spans="2:14" ht="15.75" x14ac:dyDescent="0.2">
      <c r="B7" s="420"/>
      <c r="C7" s="481"/>
      <c r="D7" s="85" t="s">
        <v>160</v>
      </c>
      <c r="E7" s="275">
        <v>20.303179298999996</v>
      </c>
      <c r="F7" s="124" t="s">
        <v>288</v>
      </c>
      <c r="H7" s="85" t="s">
        <v>272</v>
      </c>
      <c r="I7" s="273">
        <v>1</v>
      </c>
      <c r="J7" s="273">
        <f>J6/I6</f>
        <v>1000</v>
      </c>
      <c r="K7" s="276">
        <f>K6/I6</f>
        <v>3.6</v>
      </c>
      <c r="L7" s="273">
        <f>L6/I6</f>
        <v>3600</v>
      </c>
      <c r="M7" s="277">
        <f>M6/I6</f>
        <v>1.05505585</v>
      </c>
      <c r="N7" s="274">
        <f>N6/I6</f>
        <v>1055055.8500000001</v>
      </c>
    </row>
    <row r="8" spans="2:14" x14ac:dyDescent="0.2">
      <c r="B8" s="420"/>
      <c r="C8" s="481"/>
      <c r="D8" s="85" t="s">
        <v>161</v>
      </c>
      <c r="E8" s="278">
        <v>0.9009009009009008</v>
      </c>
      <c r="F8" s="482" t="s">
        <v>227</v>
      </c>
      <c r="H8" s="85" t="s">
        <v>273</v>
      </c>
      <c r="I8" s="277">
        <f>I6/J6</f>
        <v>1E-3</v>
      </c>
      <c r="J8" s="273">
        <v>1</v>
      </c>
      <c r="K8" s="279">
        <f>K6/J6</f>
        <v>3.5999999999999999E-3</v>
      </c>
      <c r="L8" s="276">
        <f>L6/J6</f>
        <v>3.6</v>
      </c>
      <c r="M8" s="280">
        <f>M6/J6</f>
        <v>1.0550558499999999E-3</v>
      </c>
      <c r="N8" s="273">
        <f>N6/J6</f>
        <v>1055.05585</v>
      </c>
    </row>
    <row r="9" spans="2:14" x14ac:dyDescent="0.2">
      <c r="B9" s="420"/>
      <c r="C9" s="189" t="s">
        <v>162</v>
      </c>
      <c r="D9" s="85" t="s">
        <v>161</v>
      </c>
      <c r="E9" s="278">
        <v>0.90266299357208446</v>
      </c>
      <c r="F9" s="483"/>
      <c r="H9" s="85" t="s">
        <v>274</v>
      </c>
      <c r="I9" s="277">
        <f>I6/K6</f>
        <v>0.27777777777777779</v>
      </c>
      <c r="J9" s="273">
        <f>J6/K6</f>
        <v>277.77777777777777</v>
      </c>
      <c r="K9" s="273">
        <v>1</v>
      </c>
      <c r="L9" s="273">
        <f>L6/K6</f>
        <v>1000</v>
      </c>
      <c r="M9" s="281">
        <f>M6/K6</f>
        <v>0.29307106944444444</v>
      </c>
      <c r="N9" s="274">
        <f>N6/K6</f>
        <v>293071.06944444444</v>
      </c>
    </row>
    <row r="10" spans="2:14" x14ac:dyDescent="0.2">
      <c r="B10" s="420"/>
      <c r="C10" s="189" t="s">
        <v>163</v>
      </c>
      <c r="D10" s="85" t="s">
        <v>159</v>
      </c>
      <c r="E10" s="282">
        <v>78.833773112000003</v>
      </c>
      <c r="F10" s="482" t="s">
        <v>289</v>
      </c>
      <c r="H10" s="85" t="s">
        <v>275</v>
      </c>
      <c r="I10" s="274">
        <f>I6/L6</f>
        <v>2.7777777777777778E-4</v>
      </c>
      <c r="J10" s="277">
        <f>J6/L6</f>
        <v>0.27777777777777779</v>
      </c>
      <c r="K10" s="277">
        <f>K6/L6</f>
        <v>1E-3</v>
      </c>
      <c r="L10" s="273">
        <v>1</v>
      </c>
      <c r="M10" s="274">
        <f>M6/L6</f>
        <v>2.9307106944444444E-4</v>
      </c>
      <c r="N10" s="276">
        <f>N6/L6</f>
        <v>293.07106944444445</v>
      </c>
    </row>
    <row r="11" spans="2:14" x14ac:dyDescent="0.2">
      <c r="B11" s="419"/>
      <c r="C11" s="189" t="s">
        <v>164</v>
      </c>
      <c r="D11" s="85" t="s">
        <v>159</v>
      </c>
      <c r="E11" s="282">
        <v>88.888455362499997</v>
      </c>
      <c r="F11" s="483"/>
      <c r="H11" s="85" t="s">
        <v>276</v>
      </c>
      <c r="I11" s="277">
        <f>I6/M6</f>
        <v>0.94781712266701335</v>
      </c>
      <c r="J11" s="273">
        <f>J6/M6</f>
        <v>947.81712266701334</v>
      </c>
      <c r="K11" s="277">
        <f>K6/M6</f>
        <v>3.4121416416012482</v>
      </c>
      <c r="L11" s="273">
        <f>L6/M6</f>
        <v>3412.141641601248</v>
      </c>
      <c r="M11" s="273">
        <v>1</v>
      </c>
      <c r="N11" s="273">
        <f>N6/M6</f>
        <v>1000000</v>
      </c>
    </row>
    <row r="12" spans="2:14" x14ac:dyDescent="0.2">
      <c r="B12" s="478" t="s">
        <v>165</v>
      </c>
      <c r="C12" s="424" t="s">
        <v>166</v>
      </c>
      <c r="D12" s="89" t="s">
        <v>167</v>
      </c>
      <c r="E12" s="283">
        <v>12</v>
      </c>
      <c r="F12" s="479" t="s">
        <v>228</v>
      </c>
      <c r="H12" s="85" t="s">
        <v>277</v>
      </c>
      <c r="I12" s="274">
        <f>I6/$N6</f>
        <v>9.4781712266701337E-7</v>
      </c>
      <c r="J12" s="274">
        <f>J6/$N6</f>
        <v>9.4781712266701326E-4</v>
      </c>
      <c r="K12" s="274">
        <f>K6/$N6</f>
        <v>3.4121416416012478E-6</v>
      </c>
      <c r="L12" s="284">
        <f>L6/$N6</f>
        <v>3.4121416416012479E-3</v>
      </c>
      <c r="M12" s="280">
        <f>M6/$N6</f>
        <v>9.9999999999999995E-7</v>
      </c>
      <c r="N12" s="273">
        <v>1</v>
      </c>
    </row>
    <row r="13" spans="2:14" ht="18" x14ac:dyDescent="0.25">
      <c r="B13" s="478"/>
      <c r="C13" s="424"/>
      <c r="D13" s="89" t="s">
        <v>168</v>
      </c>
      <c r="E13" s="283">
        <v>16</v>
      </c>
      <c r="F13" s="479"/>
      <c r="N13"/>
    </row>
    <row r="14" spans="2:14" ht="18" x14ac:dyDescent="0.25">
      <c r="B14" s="478"/>
      <c r="C14" s="424"/>
      <c r="D14" s="89" t="s">
        <v>175</v>
      </c>
      <c r="E14" s="283">
        <v>44</v>
      </c>
      <c r="F14" s="479"/>
      <c r="H14" s="200" t="s">
        <v>169</v>
      </c>
      <c r="I14" s="200" t="s">
        <v>170</v>
      </c>
      <c r="J14" s="200" t="s">
        <v>171</v>
      </c>
      <c r="K14" s="200" t="s">
        <v>172</v>
      </c>
      <c r="L14" s="200" t="s">
        <v>173</v>
      </c>
      <c r="M14" s="200" t="s">
        <v>174</v>
      </c>
    </row>
    <row r="15" spans="2:14" x14ac:dyDescent="0.2">
      <c r="B15" s="150" t="s">
        <v>176</v>
      </c>
      <c r="C15" s="150" t="s">
        <v>90</v>
      </c>
      <c r="D15" s="129" t="s">
        <v>177</v>
      </c>
      <c r="E15" s="222">
        <v>166.83529326971836</v>
      </c>
      <c r="F15" s="153" t="s">
        <v>229</v>
      </c>
      <c r="G15" s="77">
        <v>218.46060786741367</v>
      </c>
      <c r="H15" s="85" t="s">
        <v>278</v>
      </c>
      <c r="I15" s="273">
        <v>1</v>
      </c>
      <c r="J15" s="273">
        <v>1000</v>
      </c>
      <c r="K15" s="273">
        <v>1000000</v>
      </c>
      <c r="L15" s="276">
        <v>453.59237000000002</v>
      </c>
      <c r="M15" s="273">
        <f>L15*2000</f>
        <v>907184.74</v>
      </c>
    </row>
    <row r="16" spans="2:14" x14ac:dyDescent="0.2">
      <c r="B16" s="424" t="s">
        <v>178</v>
      </c>
      <c r="C16" s="424" t="s">
        <v>15</v>
      </c>
      <c r="D16" s="85" t="s">
        <v>234</v>
      </c>
      <c r="E16" s="222">
        <v>161.12730101692432</v>
      </c>
      <c r="F16" s="154" t="s">
        <v>230</v>
      </c>
      <c r="H16" s="85" t="s">
        <v>279</v>
      </c>
      <c r="I16" s="277">
        <f>I15/J15</f>
        <v>1E-3</v>
      </c>
      <c r="J16" s="273">
        <v>1</v>
      </c>
      <c r="K16" s="273">
        <f>K15/J15</f>
        <v>1000</v>
      </c>
      <c r="L16" s="277">
        <f>L15/J15</f>
        <v>0.45359237000000002</v>
      </c>
      <c r="M16" s="277">
        <f>M15/J15</f>
        <v>907.18474000000003</v>
      </c>
    </row>
    <row r="17" spans="2:13" x14ac:dyDescent="0.2">
      <c r="B17" s="424"/>
      <c r="C17" s="424"/>
      <c r="D17" s="85">
        <f>PathwaySummary!C33</f>
        <v>0</v>
      </c>
      <c r="E17" s="222">
        <v>72949.532731448708</v>
      </c>
      <c r="F17" s="154" t="s">
        <v>230</v>
      </c>
      <c r="H17" s="85" t="s">
        <v>280</v>
      </c>
      <c r="I17" s="280">
        <f>I15/K15</f>
        <v>9.9999999999999995E-7</v>
      </c>
      <c r="J17" s="277">
        <f>J15/K15</f>
        <v>1E-3</v>
      </c>
      <c r="K17" s="273">
        <v>1</v>
      </c>
      <c r="L17" s="274">
        <f>L15/K15</f>
        <v>4.5359237000000004E-4</v>
      </c>
      <c r="M17" s="277">
        <f>M15/K15</f>
        <v>0.90718474000000004</v>
      </c>
    </row>
    <row r="18" spans="2:13" x14ac:dyDescent="0.2">
      <c r="B18" s="424"/>
      <c r="C18" s="424"/>
      <c r="D18" s="86" t="str">
        <f>PathwaySummary!C36</f>
        <v>LPG or Propane</v>
      </c>
      <c r="E18" s="222">
        <v>7106.9160761206949</v>
      </c>
      <c r="F18" s="476" t="s">
        <v>291</v>
      </c>
      <c r="H18" s="85" t="s">
        <v>281</v>
      </c>
      <c r="I18" s="274">
        <f>I15/L15</f>
        <v>2.2046226218487759E-3</v>
      </c>
      <c r="J18" s="277">
        <f>J15/L15</f>
        <v>2.2046226218487757</v>
      </c>
      <c r="K18" s="273">
        <f>K15/L15</f>
        <v>2204.6226218487759</v>
      </c>
      <c r="L18" s="273">
        <v>1</v>
      </c>
      <c r="M18" s="273">
        <f>M15/L15</f>
        <v>2000</v>
      </c>
    </row>
    <row r="19" spans="2:13" x14ac:dyDescent="0.2">
      <c r="B19" s="424"/>
      <c r="C19" s="424"/>
      <c r="D19" s="85" t="str">
        <f>PathwaySummary!C37</f>
        <v>Diesel</v>
      </c>
      <c r="E19" s="222">
        <v>12707.328455442075</v>
      </c>
      <c r="F19" s="476"/>
      <c r="H19" s="85" t="s">
        <v>282</v>
      </c>
      <c r="I19" s="274">
        <f>I15/M15</f>
        <v>1.102311310924388E-6</v>
      </c>
      <c r="J19" s="274">
        <f>J15/M15</f>
        <v>1.1023113109243879E-3</v>
      </c>
      <c r="K19" s="277">
        <f>K15/M15</f>
        <v>1.1023113109243878</v>
      </c>
      <c r="L19" s="274">
        <f>L15/M15</f>
        <v>5.0000000000000001E-4</v>
      </c>
      <c r="M19" s="273">
        <v>1</v>
      </c>
    </row>
    <row r="20" spans="2:13" x14ac:dyDescent="0.25">
      <c r="B20" s="424"/>
      <c r="C20" s="418" t="s">
        <v>82</v>
      </c>
      <c r="D20" s="85" t="s">
        <v>182</v>
      </c>
      <c r="E20" s="285">
        <v>1117.4749999999999</v>
      </c>
      <c r="F20" s="154" t="s">
        <v>230</v>
      </c>
    </row>
    <row r="21" spans="2:13" ht="18" x14ac:dyDescent="0.25">
      <c r="B21" s="424"/>
      <c r="C21" s="419"/>
      <c r="D21" s="85" t="s">
        <v>183</v>
      </c>
      <c r="E21" s="285">
        <v>31.587</v>
      </c>
      <c r="F21" s="154" t="s">
        <v>231</v>
      </c>
      <c r="H21" s="200" t="s">
        <v>179</v>
      </c>
      <c r="I21" s="200" t="s">
        <v>326</v>
      </c>
      <c r="J21" s="200" t="s">
        <v>200</v>
      </c>
      <c r="K21" s="200" t="s">
        <v>180</v>
      </c>
      <c r="L21" s="200" t="s">
        <v>181</v>
      </c>
      <c r="M21" s="200" t="s">
        <v>327</v>
      </c>
    </row>
    <row r="22" spans="2:13" x14ac:dyDescent="0.2">
      <c r="B22" s="424"/>
      <c r="C22" s="150" t="s">
        <v>184</v>
      </c>
      <c r="D22" s="85" t="s">
        <v>185</v>
      </c>
      <c r="E22" s="286">
        <v>4.4650000000000002E-2</v>
      </c>
      <c r="F22" s="154"/>
      <c r="H22" s="85" t="s">
        <v>283</v>
      </c>
      <c r="I22" s="287">
        <v>1</v>
      </c>
      <c r="J22" s="288">
        <v>9.9999999999999995E-7</v>
      </c>
      <c r="K22" s="289">
        <v>1E-3</v>
      </c>
      <c r="L22" s="290">
        <v>3.7854109999999998E-3</v>
      </c>
      <c r="M22" s="290">
        <v>2.8316846999999999E-2</v>
      </c>
    </row>
    <row r="23" spans="2:13" x14ac:dyDescent="0.2">
      <c r="B23" s="424" t="s">
        <v>186</v>
      </c>
      <c r="C23" s="424" t="s">
        <v>187</v>
      </c>
      <c r="D23" s="112" t="s">
        <v>188</v>
      </c>
      <c r="E23" s="291">
        <v>4.5636235348289037E-6</v>
      </c>
      <c r="F23" s="117" t="s">
        <v>287</v>
      </c>
      <c r="H23" s="85" t="s">
        <v>284</v>
      </c>
      <c r="I23" s="273">
        <f>I22/J22</f>
        <v>1000000</v>
      </c>
      <c r="J23" s="273">
        <v>1</v>
      </c>
      <c r="K23" s="273">
        <f>K22/J22</f>
        <v>1000.0000000000001</v>
      </c>
      <c r="L23" s="273">
        <f>L22/J22</f>
        <v>3785.4110000000001</v>
      </c>
      <c r="M23" s="273">
        <f>M22/J22</f>
        <v>28316.847000000002</v>
      </c>
    </row>
    <row r="24" spans="2:13" x14ac:dyDescent="0.2">
      <c r="B24" s="424"/>
      <c r="C24" s="424"/>
      <c r="D24" s="85" t="s">
        <v>189</v>
      </c>
      <c r="E24" s="292">
        <v>6.5278965344693178E-3</v>
      </c>
      <c r="F24" s="153" t="s">
        <v>292</v>
      </c>
      <c r="G24" s="188"/>
      <c r="H24" s="85" t="s">
        <v>280</v>
      </c>
      <c r="I24" s="273">
        <f>I22/K22</f>
        <v>1000</v>
      </c>
      <c r="J24" s="277">
        <f>J22/K22</f>
        <v>1E-3</v>
      </c>
      <c r="K24" s="273">
        <v>1</v>
      </c>
      <c r="L24" s="277">
        <f>L22/K22</f>
        <v>3.7854109999999999</v>
      </c>
      <c r="M24" s="277">
        <f>M22/K22</f>
        <v>28.316846999999999</v>
      </c>
    </row>
    <row r="25" spans="2:13" x14ac:dyDescent="0.2">
      <c r="B25" s="424"/>
      <c r="C25" s="424" t="s">
        <v>190</v>
      </c>
      <c r="D25" s="89" t="s">
        <v>191</v>
      </c>
      <c r="E25" s="292">
        <v>4.5740127141700448E-3</v>
      </c>
      <c r="F25" s="153" t="s">
        <v>292</v>
      </c>
      <c r="H25" s="85" t="s">
        <v>285</v>
      </c>
      <c r="I25" s="276">
        <f>I22/L22</f>
        <v>264.17210707106841</v>
      </c>
      <c r="J25" s="274">
        <f>J22/L22</f>
        <v>2.6417210707106839E-4</v>
      </c>
      <c r="K25" s="277">
        <f>K22/L22</f>
        <v>0.26417210707106842</v>
      </c>
      <c r="L25" s="273">
        <v>1</v>
      </c>
      <c r="M25" s="277">
        <f>M22/L22</f>
        <v>7.4805211375990615</v>
      </c>
    </row>
    <row r="26" spans="2:13" ht="18" x14ac:dyDescent="0.2">
      <c r="B26" s="424"/>
      <c r="C26" s="424"/>
      <c r="D26" s="89" t="s">
        <v>192</v>
      </c>
      <c r="E26" s="293">
        <v>1.3888888888888885E-7</v>
      </c>
      <c r="F26" s="469" t="s">
        <v>287</v>
      </c>
      <c r="H26" s="85" t="s">
        <v>286</v>
      </c>
      <c r="I26" s="276">
        <f>I22/M22</f>
        <v>35.314666212661322</v>
      </c>
      <c r="J26" s="274">
        <f>J22/M22</f>
        <v>3.5314666212661319E-5</v>
      </c>
      <c r="K26" s="277">
        <f>K22/M22</f>
        <v>3.5314666212661321E-2</v>
      </c>
      <c r="L26" s="281">
        <f>L22/M22</f>
        <v>0.13368052594273649</v>
      </c>
      <c r="M26" s="273">
        <v>1</v>
      </c>
    </row>
    <row r="27" spans="2:13" ht="18" x14ac:dyDescent="0.25">
      <c r="B27" s="424"/>
      <c r="C27" s="424"/>
      <c r="D27" s="89" t="s">
        <v>193</v>
      </c>
      <c r="E27" s="293">
        <v>6.9444444444444437E-7</v>
      </c>
      <c r="F27" s="469"/>
    </row>
    <row r="28" spans="2:13" ht="18" customHeight="1" x14ac:dyDescent="0.25">
      <c r="B28" s="424"/>
      <c r="C28" s="150" t="s">
        <v>194</v>
      </c>
      <c r="D28" s="89" t="s">
        <v>195</v>
      </c>
      <c r="E28" s="221">
        <v>2.9843495091195451</v>
      </c>
      <c r="F28" s="470" t="s">
        <v>232</v>
      </c>
    </row>
    <row r="29" spans="2:13" x14ac:dyDescent="0.25">
      <c r="B29" s="149" t="s">
        <v>293</v>
      </c>
      <c r="C29" s="149"/>
      <c r="D29" s="89" t="s">
        <v>294</v>
      </c>
      <c r="E29" s="221">
        <v>1.2536115201312725</v>
      </c>
      <c r="F29" s="471"/>
    </row>
    <row r="30" spans="2:13" ht="14.45" customHeight="1" x14ac:dyDescent="0.25">
      <c r="B30" s="472" t="s">
        <v>22</v>
      </c>
      <c r="C30" s="473" t="s">
        <v>236</v>
      </c>
      <c r="D30" s="294" t="s">
        <v>196</v>
      </c>
      <c r="E30" s="222">
        <v>439.88545354407819</v>
      </c>
      <c r="F30" s="473" t="s">
        <v>237</v>
      </c>
    </row>
    <row r="31" spans="2:13" x14ac:dyDescent="0.25">
      <c r="B31" s="472"/>
      <c r="C31" s="474"/>
      <c r="D31" s="294" t="s">
        <v>233</v>
      </c>
      <c r="E31" s="236"/>
      <c r="F31" s="475"/>
    </row>
    <row r="32" spans="2:13" s="114" customFormat="1" x14ac:dyDescent="0.25">
      <c r="B32" s="472"/>
      <c r="C32" s="474"/>
      <c r="D32" s="294" t="s">
        <v>238</v>
      </c>
      <c r="E32" s="222">
        <v>608.76119197218861</v>
      </c>
      <c r="F32" s="475"/>
    </row>
    <row r="33" spans="2:9" s="114" customFormat="1" x14ac:dyDescent="0.25">
      <c r="B33" s="472"/>
      <c r="C33" s="474"/>
      <c r="D33" s="294" t="s">
        <v>239</v>
      </c>
      <c r="E33" s="222">
        <v>321.91455645657464</v>
      </c>
      <c r="F33" s="475"/>
    </row>
    <row r="34" spans="2:9" x14ac:dyDescent="0.25">
      <c r="B34" s="472"/>
      <c r="C34" s="474"/>
      <c r="D34" s="294" t="s">
        <v>240</v>
      </c>
      <c r="E34" s="222">
        <v>434.32374433113711</v>
      </c>
      <c r="F34" s="475"/>
    </row>
    <row r="35" spans="2:9" x14ac:dyDescent="0.25">
      <c r="B35" s="472"/>
      <c r="C35" s="474"/>
      <c r="D35" s="294" t="s">
        <v>241</v>
      </c>
      <c r="E35" s="222">
        <v>312.8165350887943</v>
      </c>
      <c r="F35" s="475"/>
    </row>
    <row r="36" spans="2:9" x14ac:dyDescent="0.25">
      <c r="B36" s="472"/>
      <c r="C36" s="474"/>
      <c r="D36" s="294" t="s">
        <v>242</v>
      </c>
      <c r="E36" s="222">
        <v>453.16309656015466</v>
      </c>
      <c r="F36" s="475"/>
    </row>
    <row r="37" spans="2:9" ht="18.75" x14ac:dyDescent="0.25">
      <c r="B37" s="472"/>
      <c r="C37" s="474"/>
      <c r="D37" s="294" t="s">
        <v>197</v>
      </c>
      <c r="E37" s="222">
        <v>497.67089248426942</v>
      </c>
      <c r="F37" s="475"/>
      <c r="G37" s="78"/>
    </row>
    <row r="38" spans="2:9" x14ac:dyDescent="0.25">
      <c r="B38" s="472"/>
      <c r="C38" s="474"/>
      <c r="D38" s="294" t="s">
        <v>243</v>
      </c>
      <c r="E38" s="222">
        <v>749.5206468107923</v>
      </c>
      <c r="F38" s="475"/>
    </row>
    <row r="39" spans="2:9" x14ac:dyDescent="0.25">
      <c r="B39" s="472"/>
      <c r="C39" s="474"/>
      <c r="D39" s="294" t="s">
        <v>244</v>
      </c>
      <c r="E39" s="222">
        <v>1004.3587619618944</v>
      </c>
      <c r="F39" s="475"/>
    </row>
    <row r="40" spans="2:9" x14ac:dyDescent="0.25">
      <c r="B40" s="472"/>
      <c r="C40" s="474"/>
      <c r="D40" s="294" t="s">
        <v>245</v>
      </c>
      <c r="E40" s="222">
        <v>793.21341764701663</v>
      </c>
      <c r="F40" s="475"/>
    </row>
    <row r="41" spans="2:9" x14ac:dyDescent="0.25">
      <c r="B41" s="472"/>
      <c r="C41" s="474"/>
      <c r="D41" s="294" t="s">
        <v>246</v>
      </c>
      <c r="E41" s="222">
        <v>502.8813759227682</v>
      </c>
      <c r="F41" s="475"/>
    </row>
    <row r="42" spans="2:9" x14ac:dyDescent="0.25">
      <c r="B42" s="472"/>
      <c r="C42" s="474"/>
      <c r="D42" s="294" t="s">
        <v>247</v>
      </c>
      <c r="E42" s="222">
        <v>323.95034733012585</v>
      </c>
      <c r="F42" s="475"/>
    </row>
    <row r="43" spans="2:9" x14ac:dyDescent="0.25">
      <c r="B43" s="472"/>
      <c r="C43" s="474"/>
      <c r="D43" s="294" t="s">
        <v>248</v>
      </c>
      <c r="E43" s="222">
        <v>331.18939252645737</v>
      </c>
      <c r="F43" s="475"/>
    </row>
    <row r="44" spans="2:9" x14ac:dyDescent="0.25">
      <c r="B44" s="472"/>
      <c r="C44" s="474"/>
      <c r="D44" s="294" t="s">
        <v>249</v>
      </c>
      <c r="E44" s="222">
        <v>491.8899141276421</v>
      </c>
      <c r="F44" s="475"/>
    </row>
    <row r="45" spans="2:9" x14ac:dyDescent="0.25">
      <c r="B45" s="472"/>
      <c r="C45" s="474"/>
      <c r="D45" s="294" t="s">
        <v>250</v>
      </c>
      <c r="E45" s="222">
        <v>568.33890576114197</v>
      </c>
      <c r="F45" s="475"/>
    </row>
    <row r="46" spans="2:9" x14ac:dyDescent="0.25">
      <c r="B46" s="472"/>
      <c r="C46" s="474"/>
      <c r="D46" s="294" t="s">
        <v>251</v>
      </c>
      <c r="E46" s="222">
        <v>145.34696366831278</v>
      </c>
      <c r="F46" s="475"/>
    </row>
    <row r="47" spans="2:9" x14ac:dyDescent="0.25">
      <c r="B47" s="472"/>
      <c r="C47" s="474"/>
      <c r="D47" s="294" t="s">
        <v>252</v>
      </c>
      <c r="E47" s="222">
        <v>853.01584702183766</v>
      </c>
      <c r="F47" s="475"/>
    </row>
    <row r="48" spans="2:9" x14ac:dyDescent="0.25">
      <c r="B48" s="472"/>
      <c r="C48" s="474"/>
      <c r="D48" s="294" t="s">
        <v>253</v>
      </c>
      <c r="E48" s="222">
        <v>386.68363632612505</v>
      </c>
      <c r="F48" s="475"/>
      <c r="I48" s="111"/>
    </row>
    <row r="49" spans="2:6" x14ac:dyDescent="0.25">
      <c r="B49" s="472"/>
      <c r="C49" s="474"/>
      <c r="D49" s="294" t="s">
        <v>254</v>
      </c>
      <c r="E49" s="222">
        <v>632.80385877857555</v>
      </c>
      <c r="F49" s="475"/>
    </row>
    <row r="50" spans="2:6" x14ac:dyDescent="0.25">
      <c r="B50" s="472"/>
      <c r="C50" s="474"/>
      <c r="D50" s="294" t="s">
        <v>255</v>
      </c>
      <c r="E50" s="222">
        <v>558.01608120072456</v>
      </c>
      <c r="F50" s="475"/>
    </row>
    <row r="51" spans="2:6" x14ac:dyDescent="0.25">
      <c r="B51" s="472"/>
      <c r="C51" s="474"/>
      <c r="D51" s="294" t="s">
        <v>256</v>
      </c>
      <c r="E51" s="222">
        <v>566.63051532727116</v>
      </c>
      <c r="F51" s="475"/>
    </row>
    <row r="52" spans="2:6" x14ac:dyDescent="0.25">
      <c r="B52" s="472"/>
      <c r="C52" s="474"/>
      <c r="D52" s="294" t="s">
        <v>257</v>
      </c>
      <c r="E52" s="222">
        <v>507.90065330613919</v>
      </c>
      <c r="F52" s="475"/>
    </row>
    <row r="53" spans="2:6" x14ac:dyDescent="0.25">
      <c r="B53" s="472"/>
      <c r="C53" s="474"/>
      <c r="D53" s="294" t="s">
        <v>258</v>
      </c>
      <c r="E53" s="222">
        <v>515.07054646446682</v>
      </c>
      <c r="F53" s="475"/>
    </row>
    <row r="54" spans="2:6" x14ac:dyDescent="0.25">
      <c r="B54" s="472"/>
      <c r="C54" s="474"/>
      <c r="D54" s="294" t="s">
        <v>259</v>
      </c>
      <c r="E54" s="222">
        <v>464.36134546855777</v>
      </c>
      <c r="F54" s="475"/>
    </row>
    <row r="55" spans="2:6" x14ac:dyDescent="0.25">
      <c r="B55" s="472"/>
      <c r="C55" s="474"/>
      <c r="D55" s="294" t="s">
        <v>260</v>
      </c>
      <c r="E55" s="222">
        <v>811.87608764310733</v>
      </c>
      <c r="F55" s="475"/>
    </row>
    <row r="56" spans="2:6" x14ac:dyDescent="0.25">
      <c r="B56" s="472"/>
      <c r="C56" s="474"/>
      <c r="D56" s="294" t="s">
        <v>261</v>
      </c>
      <c r="E56" s="222">
        <v>493.91436237711542</v>
      </c>
      <c r="F56" s="475"/>
    </row>
    <row r="57" spans="2:6" x14ac:dyDescent="0.25">
      <c r="B57" s="472"/>
      <c r="C57" s="474"/>
      <c r="D57" s="294" t="s">
        <v>262</v>
      </c>
      <c r="E57" s="222">
        <v>494.76520134400619</v>
      </c>
      <c r="F57" s="475"/>
    </row>
    <row r="58" spans="2:6" x14ac:dyDescent="0.25">
      <c r="B58" s="472"/>
      <c r="C58" s="474"/>
      <c r="D58" s="294" t="s">
        <v>263</v>
      </c>
      <c r="E58" s="222">
        <v>360.49521132862571</v>
      </c>
      <c r="F58" s="475"/>
    </row>
    <row r="60" spans="2:6" ht="15" customHeight="1" x14ac:dyDescent="0.25"/>
    <row r="61" spans="2:6" ht="15" customHeight="1" x14ac:dyDescent="0.25">
      <c r="B61" s="295" t="s">
        <v>264</v>
      </c>
      <c r="C61" s="296"/>
    </row>
    <row r="62" spans="2:6" x14ac:dyDescent="0.2">
      <c r="B62" s="297" t="s">
        <v>265</v>
      </c>
      <c r="C62" s="298">
        <v>1</v>
      </c>
    </row>
    <row r="63" spans="2:6" x14ac:dyDescent="0.2">
      <c r="B63" s="297" t="s">
        <v>267</v>
      </c>
      <c r="C63" s="298">
        <v>30</v>
      </c>
    </row>
    <row r="64" spans="2:6" x14ac:dyDescent="0.2">
      <c r="B64" s="297" t="s">
        <v>269</v>
      </c>
      <c r="C64" s="298">
        <v>265</v>
      </c>
    </row>
    <row r="65" spans="2:3" x14ac:dyDescent="0.2">
      <c r="B65" s="297" t="s">
        <v>266</v>
      </c>
      <c r="C65" s="299">
        <f>CContent_VOC/CContent_CO2</f>
        <v>3.1166666666666667</v>
      </c>
    </row>
    <row r="66" spans="2:3" x14ac:dyDescent="0.2">
      <c r="B66" s="297" t="s">
        <v>268</v>
      </c>
      <c r="C66" s="299">
        <f>CContent_CO/CContent_CO2</f>
        <v>1.5714285714285714</v>
      </c>
    </row>
    <row r="68" spans="2:3" ht="15.75" x14ac:dyDescent="0.25">
      <c r="B68" s="300" t="s">
        <v>270</v>
      </c>
      <c r="C68" s="301"/>
    </row>
    <row r="69" spans="2:3" x14ac:dyDescent="0.2">
      <c r="B69" s="297" t="s">
        <v>266</v>
      </c>
      <c r="C69" s="299">
        <v>0.85</v>
      </c>
    </row>
    <row r="70" spans="2:3" x14ac:dyDescent="0.2">
      <c r="B70" s="297" t="s">
        <v>268</v>
      </c>
      <c r="C70" s="299">
        <f>12/28</f>
        <v>0.42857142857142855</v>
      </c>
    </row>
    <row r="71" spans="2:3" x14ac:dyDescent="0.2">
      <c r="B71" s="297" t="s">
        <v>265</v>
      </c>
      <c r="C71" s="299">
        <f>12/44</f>
        <v>0.27272727272727271</v>
      </c>
    </row>
  </sheetData>
  <mergeCells count="21">
    <mergeCell ref="F18:F19"/>
    <mergeCell ref="H4:N4"/>
    <mergeCell ref="B12:B14"/>
    <mergeCell ref="F12:F14"/>
    <mergeCell ref="C12:C14"/>
    <mergeCell ref="B16:B22"/>
    <mergeCell ref="B4:F4"/>
    <mergeCell ref="B6:B11"/>
    <mergeCell ref="C6:C8"/>
    <mergeCell ref="F8:F9"/>
    <mergeCell ref="F10:F11"/>
    <mergeCell ref="C20:C21"/>
    <mergeCell ref="C16:C19"/>
    <mergeCell ref="F26:F27"/>
    <mergeCell ref="F28:F29"/>
    <mergeCell ref="B30:B58"/>
    <mergeCell ref="C30:C58"/>
    <mergeCell ref="F30:F58"/>
    <mergeCell ref="B23:B28"/>
    <mergeCell ref="C23:C24"/>
    <mergeCell ref="C25:C27"/>
  </mergeCells>
  <phoneticPr fontId="49"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Props1.xml><?xml version="1.0" encoding="utf-8"?>
<ds:datastoreItem xmlns:ds="http://schemas.openxmlformats.org/officeDocument/2006/customXml" ds:itemID="{2240AE31-EDA1-43D1-BDA9-F3EAC9AD2289}">
  <ds:schemaRefs>
    <ds:schemaRef ds:uri="http://schemas.microsoft.com/sharepoint/v3/contenttype/forms"/>
  </ds:schemaRefs>
</ds:datastoreItem>
</file>

<file path=customXml/itemProps2.xml><?xml version="1.0" encoding="utf-8"?>
<ds:datastoreItem xmlns:ds="http://schemas.openxmlformats.org/officeDocument/2006/customXml" ds:itemID="{710F32D4-8204-46A1-863C-4E09AB7294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C26B9-FCD5-4743-BF07-526BA1EC1B6C}">
  <ds:schemaRefs>
    <ds:schemaRef ds:uri="http://purl.org/dc/terms/"/>
    <ds:schemaRef ds:uri="http://schemas.openxmlformats.org/package/2006/metadata/core-properties"/>
    <ds:schemaRef ds:uri="48f7e80c-61ed-4043-9da3-abd35210c977"/>
    <ds:schemaRef ds:uri="http://schemas.microsoft.com/office/infopath/2007/PartnerControls"/>
    <ds:schemaRef ds:uri="http://schemas.microsoft.com/office/2006/documentManagement/types"/>
    <ds:schemaRef ds:uri="http://purl.org/dc/elements/1.1/"/>
    <ds:schemaRef ds:uri="cc46344e-ec94-4c24-ada3-0d817196d5c6"/>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89</vt:i4>
      </vt:variant>
    </vt:vector>
  </HeadingPairs>
  <TitlesOfParts>
    <vt:vector size="94" baseType="lpstr">
      <vt:lpstr>Introduction</vt:lpstr>
      <vt:lpstr>PathwaySummary</vt:lpstr>
      <vt:lpstr>SiteSpecificInputs</vt:lpstr>
      <vt:lpstr>AvoidedEmissions</vt:lpstr>
      <vt:lpstr>Background</vt:lpstr>
      <vt:lpstr>btu2j</vt:lpstr>
      <vt:lpstr>Btu2kJ</vt:lpstr>
      <vt:lpstr>Btu2kWh</vt:lpstr>
      <vt:lpstr>Btu2MJ</vt:lpstr>
      <vt:lpstr>Btu2Wh</vt:lpstr>
      <vt:lpstr>CContent_CO</vt:lpstr>
      <vt:lpstr>CContent_CO2</vt:lpstr>
      <vt:lpstr>CContent_VOC</vt:lpstr>
      <vt:lpstr>CH4_heat_ratio</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kg2g</vt:lpstr>
      <vt:lpstr>kg2lb</vt:lpstr>
      <vt:lpstr>kg2MT</vt:lpstr>
      <vt:lpstr>kg2T</vt:lpstr>
      <vt:lpstr>kJ2Btu</vt:lpstr>
      <vt:lpstr>kJ2J</vt:lpstr>
      <vt:lpstr>kJ2kWh</vt:lpstr>
      <vt:lpstr>kJ2MJ</vt:lpstr>
      <vt:lpstr>kJ2mmBtu</vt:lpstr>
      <vt:lpstr>kJ2Wh</vt:lpstr>
      <vt:lpstr>kWh2Btu</vt:lpstr>
      <vt:lpstr>kWh2J</vt:lpstr>
      <vt:lpstr>kWh2kJ</vt:lpstr>
      <vt:lpstr>kWh2MJ</vt:lpstr>
      <vt:lpstr>kWh2mmBtu</vt:lpstr>
      <vt:lpstr>kWh2Wh</vt:lpstr>
      <vt:lpstr>L2ft3</vt:lpstr>
      <vt:lpstr>L2gal</vt:lpstr>
      <vt:lpstr>L2m3</vt:lpstr>
      <vt:lpstr>L2mL</vt:lpstr>
      <vt:lpstr>lb2g</vt:lpstr>
      <vt:lpstr>lb2kg</vt:lpstr>
      <vt:lpstr>lb2MT</vt:lpstr>
      <vt:lpstr>lb2T</vt:lpstr>
      <vt:lpstr>m32ft3</vt:lpstr>
      <vt:lpstr>m32gal</vt:lpstr>
      <vt:lpstr>m32L</vt:lpstr>
      <vt:lpstr>m32mL</vt:lpstr>
      <vt:lpstr>MJ2Btu</vt:lpstr>
      <vt:lpstr>MJ2J</vt:lpstr>
      <vt:lpstr>MJ2kJ</vt:lpstr>
      <vt:lpstr>MJ2kWh</vt:lpstr>
      <vt:lpstr>MJ2mmBtu</vt:lpstr>
      <vt:lpstr>MJ2Wh</vt:lpstr>
      <vt:lpstr>mL2ft3</vt:lpstr>
      <vt:lpstr>mL2gal</vt:lpstr>
      <vt:lpstr>mL2L</vt:lpstr>
      <vt:lpstr>mL2m3</vt:lpstr>
      <vt:lpstr>mmBtu2Btu</vt:lpstr>
      <vt:lpstr>mmBtu2J</vt:lpstr>
      <vt:lpstr>mmBtu2kJ</vt:lpstr>
      <vt:lpstr>mmBTU2kWh</vt:lpstr>
      <vt:lpstr>mmBTU2MJ</vt:lpstr>
      <vt:lpstr>mmBtu2Wh</vt:lpstr>
      <vt:lpstr>MT2g</vt:lpstr>
      <vt:lpstr>MT2kg</vt:lpstr>
      <vt:lpstr>MT2lb</vt:lpstr>
      <vt:lpstr>MT2T</vt:lpstr>
      <vt:lpstr>NG_heat_ratio</vt:lpstr>
      <vt:lpstr>T2g</vt:lpstr>
      <vt:lpstr>T2kg</vt:lpstr>
      <vt:lpstr>T2lb</vt:lpstr>
      <vt:lpstr>T2MT</vt:lpstr>
      <vt:lpstr>user_grid_CI</vt:lpstr>
      <vt:lpstr>user_grid_name</vt:lpstr>
      <vt:lpstr>Wh2Btu</vt:lpstr>
      <vt:lpstr>Wh2hph</vt:lpstr>
      <vt:lpstr>Wh2J</vt:lpstr>
      <vt:lpstr>Wh2kJ</vt:lpstr>
      <vt:lpstr>Wh2kWh</vt:lpstr>
      <vt:lpstr>Wh2MJ</vt:lpstr>
      <vt:lpstr>Wh2mmBtu</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Biomethane OW</dc:title>
  <dc:subject/>
  <dc:creator>CTFP Staff</dc:creator>
  <cp:keywords/>
  <dc:description/>
  <cp:lastModifiedBy>Kandel, Tanka, ENV</cp:lastModifiedBy>
  <cp:revision/>
  <dcterms:created xsi:type="dcterms:W3CDTF">2021-04-30T21:17:21Z</dcterms:created>
  <dcterms:modified xsi:type="dcterms:W3CDTF">2026-07-08T15:59:44Z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