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2.xml" ContentType="application/vnd.openxmlformats-officedocument.drawing+xml"/>
  <Override PartName="/xl/comments1.xml" ContentType="application/vnd.openxmlformats-officedocument.spreadsheetml.comment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4.xml" ContentType="application/vnd.openxmlformats-officedocument.themeOverride+xml"/>
  <Override PartName="/xl/drawings/drawing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6.xml" ContentType="application/vnd.openxmlformats-officedocument.drawing+xml"/>
  <Override PartName="/xl/comments4.xml" ContentType="application/vnd.openxmlformats-officedocument.spreadsheetml.comments+xml"/>
  <Override PartName="/xl/threadedComments/threadedComment3.xml" ContentType="application/vnd.ms-excel.threadedcomment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7.xml" ContentType="application/vnd.openxmlformats-officedocument.drawing+xml"/>
  <Override PartName="/xl/comments5.xml" ContentType="application/vnd.openxmlformats-officedocument.spreadsheetml.comments+xml"/>
  <Override PartName="/xl/threadedComments/threadedComment4.xml" ContentType="application/vnd.ms-excel.threadedcomments+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8.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9.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0.xml" ContentType="application/vnd.openxmlformats-officedocument.drawing+xml"/>
  <Override PartName="/xl/comments6.xml" ContentType="application/vnd.openxmlformats-officedocument.spreadsheetml.comments+xml"/>
  <Override PartName="/xl/threadedComments/threadedComment5.xml" ContentType="application/vnd.ms-excel.threadedcomment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1.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2.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mgov.sharepoint.com/sites/ENV-GRNHSE/Shared Documents/GHGEI/2023/Calculations/Spreadsheet for Website/"/>
    </mc:Choice>
  </mc:AlternateContent>
  <xr:revisionPtr revIDLastSave="779" documentId="8_{DBBB51B2-3736-45C1-929C-DEF8F2A6750D}" xr6:coauthVersionLast="47" xr6:coauthVersionMax="47" xr10:uidLastSave="{B6C093E3-115A-40DD-B101-9D681AD1F7CF}"/>
  <bookViews>
    <workbookView xWindow="28680" yWindow="-120" windowWidth="29040" windowHeight="15720" tabRatio="921" firstSheet="8" activeTab="14" xr2:uid="{BF12DCFE-1A90-4072-9B84-E9D1AC524AC9}"/>
  </bookViews>
  <sheets>
    <sheet name="SUMMARY TABLES" sheetId="31" r:id="rId1"/>
    <sheet name="IFC_Summary" sheetId="12" r:id="rId2"/>
    <sheet name="IFC_Sector Adjustments" sheetId="16" r:id="rId3"/>
    <sheet name="Nonroad Adjustment" sheetId="32" r:id="rId4"/>
    <sheet name="IFC_Pre-sector Adj" sheetId="10" r:id="rId5"/>
    <sheet name="IFC_Emission Factors" sheetId="3" r:id="rId6"/>
    <sheet name="IFC_Non-energy Fuel Use" sheetId="4" r:id="rId7"/>
    <sheet name="IFC_SEDS data" sheetId="5" r:id="rId8"/>
    <sheet name="IPPU_Summary" sheetId="17" r:id="rId9"/>
    <sheet name="IPPU_GWP" sheetId="18" r:id="rId10"/>
    <sheet name="CMAM" sheetId="19" r:id="rId11"/>
    <sheet name="Transportation" sheetId="20" r:id="rId12"/>
    <sheet name="Rail Calculation" sheetId="30" r:id="rId13"/>
    <sheet name="Electricity Generation" sheetId="23" r:id="rId14"/>
    <sheet name="Agriculture" sheetId="21" r:id="rId15"/>
    <sheet name="Residential Buildings" sheetId="24" r:id="rId16"/>
    <sheet name="Commercial Buildings" sheetId="25" r:id="rId17"/>
    <sheet name="Waste" sheetId="33" r:id="rId18"/>
    <sheet name="NWL" sheetId="22" r:id="rId19"/>
  </sheets>
  <externalReferences>
    <externalReference r:id="rId20"/>
  </externalReferences>
  <definedNames>
    <definedName name="_xlnm._FilterDatabase" localSheetId="13" hidden="1">'Electricity Generation'!$A$43:$ET$183</definedName>
    <definedName name="_xlnm._FilterDatabase" localSheetId="7" hidden="1">'IFC_SEDS data'!$A$3:$J$79</definedName>
    <definedName name="C_per_tonne_urea">#REF!</definedName>
    <definedName name="GWP_CH4">#REF!</definedName>
    <definedName name="GWP_N2O">#REF!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kt_to_MMT">#REF!</definedName>
    <definedName name="kt_to_MMT2">#REF!</definedName>
    <definedName name="molc_ratio_C_to_CO2">#REF!</definedName>
    <definedName name="molc_ratio_C_to_CO22">#REF!</definedName>
    <definedName name="t_to_MMT">#REF!</definedName>
    <definedName name="t_to_MMT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31" l="1"/>
  <c r="D33" i="31" l="1"/>
  <c r="C33" i="31"/>
  <c r="AN11" i="22"/>
  <c r="AN10" i="22"/>
  <c r="AN9" i="22"/>
  <c r="AN8" i="22"/>
  <c r="AN7" i="22"/>
  <c r="B28" i="33"/>
  <c r="B27" i="33"/>
  <c r="B26" i="33"/>
  <c r="B25" i="33"/>
  <c r="B24" i="33"/>
  <c r="B23" i="33"/>
  <c r="Q17" i="33"/>
  <c r="R17" i="33"/>
  <c r="S17" i="33"/>
  <c r="T17" i="33"/>
  <c r="U17" i="33"/>
  <c r="V17" i="33"/>
  <c r="W17" i="33"/>
  <c r="X17" i="33"/>
  <c r="Y17" i="33"/>
  <c r="Z17" i="33"/>
  <c r="AA17" i="33"/>
  <c r="AB17" i="33"/>
  <c r="AC17" i="33"/>
  <c r="AD17" i="33"/>
  <c r="AE17" i="33"/>
  <c r="AF17" i="33"/>
  <c r="AG17" i="33"/>
  <c r="AH17" i="33"/>
  <c r="AI17" i="33"/>
  <c r="AJ17" i="33"/>
  <c r="AK17" i="33"/>
  <c r="AL17" i="33"/>
  <c r="AM17" i="33"/>
  <c r="AN17" i="33"/>
  <c r="AO17" i="33"/>
  <c r="AP17" i="33"/>
  <c r="AQ17" i="33"/>
  <c r="AR17" i="33"/>
  <c r="AS17" i="33"/>
  <c r="AT17" i="33"/>
  <c r="AU17" i="33"/>
  <c r="AV17" i="33"/>
  <c r="AW17" i="33"/>
  <c r="AX17" i="33"/>
  <c r="AN11" i="21" l="1"/>
  <c r="AN10" i="21"/>
  <c r="AN9" i="21"/>
  <c r="AN8" i="21"/>
  <c r="AN7" i="21"/>
  <c r="B14" i="20" l="1"/>
  <c r="AD6" i="30"/>
  <c r="AD7" i="30"/>
  <c r="AD8" i="30"/>
  <c r="AD9" i="30"/>
  <c r="AD5" i="30"/>
  <c r="Q3" i="30"/>
  <c r="Q4" i="30"/>
  <c r="Q5" i="30"/>
  <c r="Q6" i="30"/>
  <c r="Q7" i="30"/>
  <c r="Q8" i="30"/>
  <c r="Q9" i="30"/>
  <c r="Q10" i="30"/>
  <c r="Q11" i="30"/>
  <c r="Q12" i="30"/>
  <c r="Q13" i="30"/>
  <c r="Q14" i="30"/>
  <c r="Q15" i="30"/>
  <c r="Q16" i="30"/>
  <c r="Q17" i="30"/>
  <c r="Q18" i="30"/>
  <c r="Q19" i="30"/>
  <c r="Q20" i="30"/>
  <c r="Q21" i="30"/>
  <c r="Q22" i="30"/>
  <c r="Q23" i="30"/>
  <c r="Q24" i="30"/>
  <c r="Q25" i="30"/>
  <c r="Q26" i="30"/>
  <c r="Q27" i="30"/>
  <c r="Q28" i="30"/>
  <c r="Q29" i="30"/>
  <c r="Q30" i="30"/>
  <c r="Q31" i="30"/>
  <c r="Q32" i="30"/>
  <c r="Q33" i="30"/>
  <c r="Q34" i="30"/>
  <c r="Q35" i="30"/>
  <c r="Q36" i="30"/>
  <c r="Q37" i="30"/>
  <c r="Q38" i="30"/>
  <c r="Q39" i="30"/>
  <c r="Q40" i="30"/>
  <c r="Q41" i="30"/>
  <c r="Q42" i="30"/>
  <c r="Q43" i="30"/>
  <c r="Q44" i="30"/>
  <c r="Q45" i="30"/>
  <c r="P3" i="30"/>
  <c r="P4" i="30"/>
  <c r="P5" i="30"/>
  <c r="P6" i="30"/>
  <c r="P7" i="30"/>
  <c r="P8" i="30"/>
  <c r="P9" i="30"/>
  <c r="P10" i="30"/>
  <c r="P11" i="30"/>
  <c r="P12" i="30"/>
  <c r="P13" i="30"/>
  <c r="P14" i="30"/>
  <c r="P15" i="30"/>
  <c r="P16" i="30"/>
  <c r="P17" i="30"/>
  <c r="P18" i="30"/>
  <c r="P19" i="30"/>
  <c r="P20" i="30"/>
  <c r="P21" i="30"/>
  <c r="P22" i="30"/>
  <c r="P23" i="30"/>
  <c r="P24" i="30"/>
  <c r="P25" i="30"/>
  <c r="P26" i="30"/>
  <c r="P27" i="30"/>
  <c r="P28" i="30"/>
  <c r="P29" i="30"/>
  <c r="P30" i="30"/>
  <c r="P31" i="30"/>
  <c r="P32" i="30"/>
  <c r="P33" i="30"/>
  <c r="P34" i="30"/>
  <c r="P35" i="30"/>
  <c r="P36" i="30"/>
  <c r="P37" i="30"/>
  <c r="P38" i="30"/>
  <c r="P39" i="30"/>
  <c r="P40" i="30"/>
  <c r="P41" i="30"/>
  <c r="P42" i="30"/>
  <c r="P43" i="30"/>
  <c r="P44" i="30"/>
  <c r="P45" i="30"/>
  <c r="O3" i="30"/>
  <c r="O4" i="30"/>
  <c r="O5" i="30"/>
  <c r="O6" i="30"/>
  <c r="O7" i="30"/>
  <c r="O8" i="30"/>
  <c r="O9" i="30"/>
  <c r="O10" i="30"/>
  <c r="O11" i="30"/>
  <c r="O12" i="30"/>
  <c r="O13" i="30"/>
  <c r="O14" i="30"/>
  <c r="O15" i="30"/>
  <c r="O16" i="30"/>
  <c r="O17" i="30"/>
  <c r="O18" i="30"/>
  <c r="O19" i="30"/>
  <c r="O20" i="30"/>
  <c r="O21" i="30"/>
  <c r="O22" i="30"/>
  <c r="O23" i="30"/>
  <c r="O24" i="30"/>
  <c r="O25" i="30"/>
  <c r="O26" i="30"/>
  <c r="O27" i="30"/>
  <c r="O28" i="30"/>
  <c r="O29" i="30"/>
  <c r="O30" i="30"/>
  <c r="O31" i="30"/>
  <c r="O32" i="30"/>
  <c r="O33" i="30"/>
  <c r="O34" i="30"/>
  <c r="O35" i="30"/>
  <c r="O36" i="30"/>
  <c r="O37" i="30"/>
  <c r="O38" i="30"/>
  <c r="O39" i="30"/>
  <c r="O40" i="30"/>
  <c r="O41" i="30"/>
  <c r="O42" i="30"/>
  <c r="O43" i="30"/>
  <c r="O44" i="30"/>
  <c r="O45" i="30"/>
  <c r="O2" i="30"/>
  <c r="P2" i="30"/>
  <c r="Q2" i="30"/>
  <c r="N3" i="30"/>
  <c r="N4" i="30"/>
  <c r="N5" i="30"/>
  <c r="N6" i="30"/>
  <c r="N7" i="30"/>
  <c r="N8" i="30"/>
  <c r="N9" i="30"/>
  <c r="N10" i="30"/>
  <c r="N11" i="30"/>
  <c r="N12" i="30"/>
  <c r="N13" i="30"/>
  <c r="N14" i="30"/>
  <c r="N15" i="30"/>
  <c r="N16" i="30"/>
  <c r="N17" i="30"/>
  <c r="N18" i="30"/>
  <c r="N19" i="30"/>
  <c r="N20" i="30"/>
  <c r="N21" i="30"/>
  <c r="N22" i="30"/>
  <c r="N23" i="30"/>
  <c r="N24" i="30"/>
  <c r="N25" i="30"/>
  <c r="N26" i="30"/>
  <c r="N27" i="30"/>
  <c r="N28" i="30"/>
  <c r="N29" i="30"/>
  <c r="N30" i="30"/>
  <c r="N31" i="30"/>
  <c r="N32" i="30"/>
  <c r="N33" i="30"/>
  <c r="N34" i="30"/>
  <c r="N35" i="30"/>
  <c r="N36" i="30"/>
  <c r="N37" i="30"/>
  <c r="N38" i="30"/>
  <c r="N39" i="30"/>
  <c r="N40" i="30"/>
  <c r="N41" i="30"/>
  <c r="N42" i="30"/>
  <c r="N43" i="30"/>
  <c r="N44" i="30"/>
  <c r="N45" i="30"/>
  <c r="N2" i="30"/>
  <c r="L28" i="23"/>
  <c r="L27" i="23"/>
  <c r="L26" i="23"/>
  <c r="L25" i="23"/>
  <c r="K11" i="20" l="1"/>
  <c r="K13" i="20"/>
  <c r="K14" i="20"/>
  <c r="K15" i="20"/>
  <c r="K16" i="20"/>
  <c r="K12" i="20"/>
  <c r="K10" i="20" l="1"/>
  <c r="K8" i="20"/>
  <c r="K7" i="19"/>
  <c r="K6" i="19"/>
  <c r="K5" i="19"/>
  <c r="K19" i="17"/>
  <c r="K17" i="17"/>
  <c r="K15" i="17"/>
  <c r="K16" i="17"/>
  <c r="K18" i="17"/>
  <c r="K14" i="17"/>
  <c r="C24" i="31"/>
  <c r="D24" i="31"/>
  <c r="C26" i="31"/>
  <c r="C12" i="16"/>
  <c r="C11" i="16"/>
  <c r="B12" i="16"/>
  <c r="B11" i="16"/>
  <c r="F32" i="32"/>
  <c r="F33" i="32"/>
  <c r="F34" i="32"/>
  <c r="F35" i="32"/>
  <c r="F36" i="32"/>
  <c r="F37" i="32"/>
  <c r="F38" i="32"/>
  <c r="F39" i="32"/>
  <c r="F40" i="32"/>
  <c r="F41" i="32"/>
  <c r="F42" i="32"/>
  <c r="F43" i="32"/>
  <c r="F44" i="32"/>
  <c r="F45" i="32"/>
  <c r="F46" i="32"/>
  <c r="F47" i="32"/>
  <c r="F48" i="32"/>
  <c r="F31" i="32"/>
  <c r="E31" i="32"/>
  <c r="E32" i="32"/>
  <c r="E33" i="32"/>
  <c r="E34" i="32"/>
  <c r="E35" i="32"/>
  <c r="E36" i="32"/>
  <c r="E37" i="32"/>
  <c r="E38" i="32"/>
  <c r="E39" i="32"/>
  <c r="E40" i="32"/>
  <c r="E41" i="32"/>
  <c r="I33" i="32" s="1"/>
  <c r="K33" i="32" s="1"/>
  <c r="E42" i="32"/>
  <c r="E43" i="32"/>
  <c r="E44" i="32"/>
  <c r="E45" i="32"/>
  <c r="I46" i="32" s="1"/>
  <c r="E46" i="32"/>
  <c r="E47" i="32"/>
  <c r="E48" i="32"/>
  <c r="K41" i="32"/>
  <c r="K20" i="17" l="1"/>
  <c r="I37" i="32"/>
  <c r="K37" i="32" s="1"/>
  <c r="J46" i="32"/>
  <c r="I36" i="32"/>
  <c r="J41" i="32" s="1"/>
  <c r="J42" i="32" s="1"/>
  <c r="I32" i="32"/>
  <c r="K32" i="32" s="1"/>
  <c r="I41" i="32"/>
  <c r="I42" i="32" s="1"/>
  <c r="K36" i="32" l="1"/>
  <c r="B28" i="12" l="1"/>
  <c r="B26" i="12"/>
  <c r="B25" i="12"/>
  <c r="D35" i="31"/>
  <c r="C35" i="31"/>
  <c r="H25" i="31" l="1"/>
  <c r="G25" i="31"/>
  <c r="F25" i="31"/>
  <c r="E25" i="31"/>
  <c r="D32" i="31"/>
  <c r="D31" i="31"/>
  <c r="D27" i="31"/>
  <c r="D25" i="31"/>
  <c r="C32" i="31"/>
  <c r="C31" i="31"/>
  <c r="B28" i="31"/>
  <c r="D28" i="31"/>
  <c r="C28" i="31" l="1"/>
  <c r="I28" i="31" s="1"/>
  <c r="C27" i="31"/>
  <c r="B35" i="31"/>
  <c r="B32" i="31"/>
  <c r="B30" i="31" s="1"/>
  <c r="B31" i="31"/>
  <c r="B26" i="31"/>
  <c r="B25" i="31"/>
  <c r="I25" i="31" s="1"/>
  <c r="D52" i="31"/>
  <c r="D48" i="31"/>
  <c r="C48" i="31"/>
  <c r="C52" i="31" s="1"/>
  <c r="B48" i="31"/>
  <c r="D41" i="31"/>
  <c r="B41" i="31"/>
  <c r="D40" i="31"/>
  <c r="C40" i="31"/>
  <c r="B40" i="31"/>
  <c r="B52" i="31" s="1"/>
  <c r="I35" i="31"/>
  <c r="D30" i="31"/>
  <c r="C30" i="31"/>
  <c r="I31" i="31"/>
  <c r="I26" i="31"/>
  <c r="H22" i="31"/>
  <c r="H34" i="31" s="1"/>
  <c r="G22" i="31"/>
  <c r="G34" i="31" s="1"/>
  <c r="F22" i="31"/>
  <c r="F34" i="31" s="1"/>
  <c r="E22" i="31"/>
  <c r="E34" i="31" s="1"/>
  <c r="D22" i="31"/>
  <c r="I23" i="31"/>
  <c r="E41" i="31" s="1"/>
  <c r="B4" i="31"/>
  <c r="P47" i="30"/>
  <c r="T7" i="30" s="1"/>
  <c r="O47" i="30"/>
  <c r="T6" i="30" s="1"/>
  <c r="AC9" i="30" s="1"/>
  <c r="AB6" i="30"/>
  <c r="AB7" i="30" s="1"/>
  <c r="AB8" i="30" s="1"/>
  <c r="AB9" i="30" s="1"/>
  <c r="Q47" i="30"/>
  <c r="T8" i="30" s="1"/>
  <c r="N47" i="30"/>
  <c r="T5" i="30" s="1"/>
  <c r="AC5" i="30" s="1"/>
  <c r="E46" i="31" l="1"/>
  <c r="E44" i="31"/>
  <c r="B7" i="31"/>
  <c r="E53" i="31"/>
  <c r="B16" i="31"/>
  <c r="G41" i="31"/>
  <c r="F41" i="31"/>
  <c r="B6" i="31"/>
  <c r="E43" i="31"/>
  <c r="E49" i="31"/>
  <c r="B12" i="31"/>
  <c r="I30" i="31"/>
  <c r="I32" i="31"/>
  <c r="AC7" i="30"/>
  <c r="AC8" i="30"/>
  <c r="AC6" i="30"/>
  <c r="B9" i="31" l="1"/>
  <c r="G46" i="31"/>
  <c r="F46" i="31"/>
  <c r="B13" i="31"/>
  <c r="E50" i="31"/>
  <c r="G53" i="31"/>
  <c r="F53" i="31"/>
  <c r="B11" i="31"/>
  <c r="E48" i="31"/>
  <c r="F49" i="31"/>
  <c r="G49" i="31"/>
  <c r="G43" i="31"/>
  <c r="F43" i="31"/>
  <c r="G44" i="31"/>
  <c r="F44" i="31"/>
  <c r="B52" i="19"/>
  <c r="F7" i="12"/>
  <c r="G5" i="12"/>
  <c r="F5" i="12"/>
  <c r="G50" i="31" l="1"/>
  <c r="F50" i="31"/>
  <c r="F48" i="31"/>
  <c r="G48" i="31"/>
  <c r="D5" i="19"/>
  <c r="G36" i="20" l="1"/>
  <c r="I33" i="31"/>
  <c r="E51" i="31" l="1"/>
  <c r="B14" i="31"/>
  <c r="G51" i="31" l="1"/>
  <c r="F51" i="31"/>
  <c r="L8" i="23"/>
  <c r="K8" i="23"/>
  <c r="J8" i="23"/>
  <c r="I8" i="23"/>
  <c r="H8" i="23"/>
  <c r="F15" i="23"/>
  <c r="F14" i="23"/>
  <c r="F13" i="23"/>
  <c r="F12" i="23"/>
  <c r="F11" i="23"/>
  <c r="F10" i="23"/>
  <c r="F9" i="23"/>
  <c r="F8" i="23"/>
  <c r="F7" i="23"/>
  <c r="E15" i="23"/>
  <c r="E14" i="23"/>
  <c r="E13" i="23"/>
  <c r="E12" i="23"/>
  <c r="E11" i="23"/>
  <c r="E10" i="23"/>
  <c r="E9" i="23"/>
  <c r="E8" i="23"/>
  <c r="E7" i="23"/>
  <c r="D15" i="23"/>
  <c r="D14" i="23"/>
  <c r="D13" i="23"/>
  <c r="D12" i="23"/>
  <c r="D11" i="23"/>
  <c r="D10" i="23"/>
  <c r="D9" i="23"/>
  <c r="D8" i="23"/>
  <c r="D7" i="23"/>
  <c r="C15" i="23"/>
  <c r="C14" i="23"/>
  <c r="C13" i="23"/>
  <c r="C12" i="23"/>
  <c r="C11" i="23"/>
  <c r="C10" i="23"/>
  <c r="C9" i="23"/>
  <c r="C8" i="23"/>
  <c r="C7" i="23"/>
  <c r="B15" i="23"/>
  <c r="B14" i="23"/>
  <c r="B13" i="23"/>
  <c r="B12" i="23"/>
  <c r="B11" i="23"/>
  <c r="B10" i="23"/>
  <c r="B9" i="23"/>
  <c r="B8" i="23"/>
  <c r="B7" i="23"/>
  <c r="G108" i="25" l="1"/>
  <c r="F108" i="25"/>
  <c r="G107" i="25"/>
  <c r="F107" i="25"/>
  <c r="E107" i="25"/>
  <c r="B39" i="25" s="1"/>
  <c r="E39" i="25" s="1"/>
  <c r="G106" i="25"/>
  <c r="F106" i="25"/>
  <c r="C41" i="25" s="1"/>
  <c r="C10" i="25" s="1"/>
  <c r="E106" i="25"/>
  <c r="B41" i="25" s="1"/>
  <c r="G105" i="25"/>
  <c r="F105" i="25"/>
  <c r="E105" i="25"/>
  <c r="G104" i="25"/>
  <c r="F104" i="25"/>
  <c r="E104" i="25"/>
  <c r="G103" i="25"/>
  <c r="F103" i="25"/>
  <c r="E103" i="25"/>
  <c r="H93" i="25"/>
  <c r="G93" i="25"/>
  <c r="F93" i="25"/>
  <c r="E93" i="25"/>
  <c r="C53" i="25"/>
  <c r="C54" i="25" s="1"/>
  <c r="B53" i="25"/>
  <c r="F42" i="25"/>
  <c r="D42" i="25"/>
  <c r="D11" i="25" s="1"/>
  <c r="E11" i="25" s="1"/>
  <c r="C42" i="25"/>
  <c r="D41" i="25"/>
  <c r="D40" i="25"/>
  <c r="D9" i="25" s="1"/>
  <c r="C40" i="25"/>
  <c r="C9" i="25" s="1"/>
  <c r="E9" i="25" s="1"/>
  <c r="B40" i="25"/>
  <c r="D39" i="25"/>
  <c r="C39" i="25"/>
  <c r="D38" i="25"/>
  <c r="C38" i="25"/>
  <c r="C8" i="25" s="1"/>
  <c r="E8" i="25" s="1"/>
  <c r="B38" i="25"/>
  <c r="F37" i="25"/>
  <c r="F43" i="25" s="1"/>
  <c r="D37" i="25"/>
  <c r="C37" i="25"/>
  <c r="E37" i="25" s="1"/>
  <c r="D36" i="25"/>
  <c r="D43" i="25" s="1"/>
  <c r="C36" i="25"/>
  <c r="C43" i="25" s="1"/>
  <c r="B36" i="25"/>
  <c r="F11" i="25"/>
  <c r="C11" i="25"/>
  <c r="B11" i="25"/>
  <c r="F10" i="25"/>
  <c r="D10" i="25"/>
  <c r="F9" i="25"/>
  <c r="B9" i="25"/>
  <c r="F8" i="25"/>
  <c r="F12" i="25" s="1"/>
  <c r="D8" i="25"/>
  <c r="B8" i="25"/>
  <c r="F7" i="25"/>
  <c r="B7" i="25"/>
  <c r="G38" i="24"/>
  <c r="D11" i="24" s="1"/>
  <c r="E11" i="24" s="1"/>
  <c r="F38" i="24"/>
  <c r="G37" i="24"/>
  <c r="F37" i="24"/>
  <c r="E37" i="24"/>
  <c r="B10" i="24" s="1"/>
  <c r="E10" i="24" s="1"/>
  <c r="G36" i="24"/>
  <c r="F36" i="24"/>
  <c r="C8" i="24" s="1"/>
  <c r="E36" i="24"/>
  <c r="B8" i="24" s="1"/>
  <c r="E8" i="24" s="1"/>
  <c r="G35" i="24"/>
  <c r="D7" i="24" s="1"/>
  <c r="D12" i="24" s="1"/>
  <c r="F35" i="24"/>
  <c r="C7" i="24" s="1"/>
  <c r="C12" i="24" s="1"/>
  <c r="E35" i="24"/>
  <c r="G34" i="24"/>
  <c r="F34" i="24"/>
  <c r="C9" i="24" s="1"/>
  <c r="E34" i="24"/>
  <c r="F12" i="24"/>
  <c r="F11" i="24"/>
  <c r="C11" i="24"/>
  <c r="D10" i="24"/>
  <c r="C10" i="24"/>
  <c r="D9" i="24"/>
  <c r="B9" i="24"/>
  <c r="D8" i="24"/>
  <c r="B7" i="24"/>
  <c r="E41" i="25" l="1"/>
  <c r="B10" i="25"/>
  <c r="E10" i="25" s="1"/>
  <c r="B12" i="24"/>
  <c r="E9" i="24"/>
  <c r="B43" i="25"/>
  <c r="C7" i="25"/>
  <c r="C12" i="25" s="1"/>
  <c r="B12" i="25"/>
  <c r="E36" i="25"/>
  <c r="E38" i="25"/>
  <c r="E40" i="25"/>
  <c r="D7" i="25"/>
  <c r="D12" i="25" s="1"/>
  <c r="D54" i="25"/>
  <c r="E7" i="24"/>
  <c r="E12" i="24" s="1"/>
  <c r="E42" i="25"/>
  <c r="E43" i="25" l="1"/>
  <c r="E7" i="25"/>
  <c r="E12" i="25" s="1"/>
  <c r="B33" i="23" l="1"/>
  <c r="B32" i="23"/>
  <c r="H32" i="23" s="1"/>
  <c r="B31" i="23"/>
  <c r="H31" i="23" s="1"/>
  <c r="B30" i="23"/>
  <c r="H30" i="23" s="1"/>
  <c r="B29" i="23"/>
  <c r="H29" i="23" s="1"/>
  <c r="B28" i="23"/>
  <c r="H28" i="23" s="1"/>
  <c r="B27" i="23"/>
  <c r="H27" i="23" s="1"/>
  <c r="E26" i="23"/>
  <c r="E34" i="23" s="1"/>
  <c r="F33" i="23" s="1"/>
  <c r="B26" i="23"/>
  <c r="H26" i="23" s="1"/>
  <c r="B25" i="23"/>
  <c r="H25" i="23" s="1"/>
  <c r="R15" i="23"/>
  <c r="Q15" i="23"/>
  <c r="P15" i="23"/>
  <c r="O15" i="23"/>
  <c r="N15" i="23"/>
  <c r="R14" i="23"/>
  <c r="Q14" i="23"/>
  <c r="P14" i="23"/>
  <c r="O14" i="23"/>
  <c r="N14" i="23"/>
  <c r="R13" i="23"/>
  <c r="Q13" i="23"/>
  <c r="P13" i="23"/>
  <c r="O13" i="23"/>
  <c r="N13" i="23"/>
  <c r="R12" i="23"/>
  <c r="Q12" i="23"/>
  <c r="P12" i="23"/>
  <c r="O12" i="23"/>
  <c r="N12" i="23"/>
  <c r="Q11" i="23"/>
  <c r="R11" i="23"/>
  <c r="P11" i="23"/>
  <c r="O11" i="23"/>
  <c r="N11" i="23"/>
  <c r="O10" i="23"/>
  <c r="R10" i="23"/>
  <c r="Q10" i="23"/>
  <c r="P10" i="23"/>
  <c r="N10" i="23"/>
  <c r="P9" i="23"/>
  <c r="R9" i="23"/>
  <c r="Q9" i="23"/>
  <c r="O9" i="23"/>
  <c r="N9" i="23"/>
  <c r="L16" i="23"/>
  <c r="K16" i="23"/>
  <c r="J16" i="23"/>
  <c r="I16" i="23"/>
  <c r="H16" i="23"/>
  <c r="P8" i="23"/>
  <c r="O8" i="23"/>
  <c r="N8" i="23"/>
  <c r="R7" i="23"/>
  <c r="Q7" i="23"/>
  <c r="C16" i="23"/>
  <c r="B16" i="23"/>
  <c r="F26" i="23" l="1"/>
  <c r="D16" i="23"/>
  <c r="P16" i="23" s="1"/>
  <c r="D29" i="31" s="1"/>
  <c r="D34" i="31" s="1"/>
  <c r="Q8" i="23"/>
  <c r="R8" i="23"/>
  <c r="O7" i="23"/>
  <c r="N7" i="23"/>
  <c r="P7" i="23"/>
  <c r="N16" i="23"/>
  <c r="B29" i="31" s="1"/>
  <c r="I29" i="31" s="1"/>
  <c r="O16" i="23"/>
  <c r="C29" i="31" s="1"/>
  <c r="E16" i="23"/>
  <c r="Q16" i="23" s="1"/>
  <c r="F30" i="23"/>
  <c r="H33" i="23"/>
  <c r="F16" i="23"/>
  <c r="R16" i="23" s="1"/>
  <c r="F27" i="23"/>
  <c r="F32" i="23"/>
  <c r="B34" i="23"/>
  <c r="F29" i="23"/>
  <c r="F31" i="23"/>
  <c r="F34" i="23"/>
  <c r="F25" i="23"/>
  <c r="F28" i="23"/>
  <c r="B10" i="31" l="1"/>
  <c r="E47" i="31"/>
  <c r="C30" i="23"/>
  <c r="C31" i="23"/>
  <c r="C34" i="23"/>
  <c r="C27" i="23"/>
  <c r="C33" i="23"/>
  <c r="C32" i="23"/>
  <c r="C29" i="23"/>
  <c r="C28" i="23"/>
  <c r="H34" i="23"/>
  <c r="C25" i="23"/>
  <c r="C26" i="23"/>
  <c r="G47" i="31" l="1"/>
  <c r="F47" i="31"/>
  <c r="I34" i="23"/>
  <c r="I26" i="23"/>
  <c r="I31" i="23"/>
  <c r="I25" i="23"/>
  <c r="I32" i="23"/>
  <c r="I29" i="23"/>
  <c r="I27" i="23"/>
  <c r="I30" i="23"/>
  <c r="I28" i="23"/>
  <c r="I33" i="23"/>
  <c r="AK159" i="22" l="1"/>
  <c r="AJ159" i="22"/>
  <c r="AI159" i="22"/>
  <c r="AH159" i="22"/>
  <c r="AG159" i="22"/>
  <c r="AF159" i="22"/>
  <c r="AE159" i="22"/>
  <c r="AD159" i="22"/>
  <c r="AC159" i="22"/>
  <c r="AB159" i="22"/>
  <c r="AA159" i="22"/>
  <c r="Z159" i="22"/>
  <c r="Y159" i="22"/>
  <c r="X159" i="22"/>
  <c r="W159" i="22"/>
  <c r="V159" i="22"/>
  <c r="U159" i="22"/>
  <c r="T159" i="22"/>
  <c r="S159" i="22"/>
  <c r="R159" i="22"/>
  <c r="Q159" i="22"/>
  <c r="P159" i="22"/>
  <c r="O159" i="22"/>
  <c r="N159" i="22"/>
  <c r="M159" i="22"/>
  <c r="L159" i="22"/>
  <c r="K159" i="22"/>
  <c r="J159" i="22"/>
  <c r="I159" i="22"/>
  <c r="H159" i="22"/>
  <c r="G159" i="22"/>
  <c r="F159" i="22"/>
  <c r="E159" i="22"/>
  <c r="D159" i="22"/>
  <c r="AK158" i="22"/>
  <c r="AJ158" i="22"/>
  <c r="AI158" i="22"/>
  <c r="AH158" i="22"/>
  <c r="AG158" i="22"/>
  <c r="AF158" i="22"/>
  <c r="AE158" i="22"/>
  <c r="AD158" i="22"/>
  <c r="AC158" i="22"/>
  <c r="AB158" i="22"/>
  <c r="AA158" i="22"/>
  <c r="Z158" i="22"/>
  <c r="Y158" i="22"/>
  <c r="X158" i="22"/>
  <c r="W158" i="22"/>
  <c r="V158" i="22"/>
  <c r="U158" i="22"/>
  <c r="T158" i="22"/>
  <c r="S158" i="22"/>
  <c r="R158" i="22"/>
  <c r="Q158" i="22"/>
  <c r="P158" i="22"/>
  <c r="O158" i="22"/>
  <c r="N158" i="22"/>
  <c r="M158" i="22"/>
  <c r="L158" i="22"/>
  <c r="K158" i="22"/>
  <c r="J158" i="22"/>
  <c r="I158" i="22"/>
  <c r="H158" i="22"/>
  <c r="G158" i="22"/>
  <c r="F158" i="22"/>
  <c r="E158" i="22"/>
  <c r="D158" i="22"/>
  <c r="AK157" i="22"/>
  <c r="AJ157" i="22"/>
  <c r="AI157" i="22"/>
  <c r="AH157" i="22"/>
  <c r="AG157" i="22"/>
  <c r="AF157" i="22"/>
  <c r="AE157" i="22"/>
  <c r="AD157" i="22"/>
  <c r="AC157" i="22"/>
  <c r="AB157" i="22"/>
  <c r="AA157" i="22"/>
  <c r="Z157" i="22"/>
  <c r="Y157" i="22"/>
  <c r="X157" i="22"/>
  <c r="W157" i="22"/>
  <c r="V157" i="22"/>
  <c r="U157" i="22"/>
  <c r="T157" i="22"/>
  <c r="S157" i="22"/>
  <c r="R157" i="22"/>
  <c r="Q157" i="22"/>
  <c r="P157" i="22"/>
  <c r="O157" i="22"/>
  <c r="N157" i="22"/>
  <c r="M157" i="22"/>
  <c r="L157" i="22"/>
  <c r="K157" i="22"/>
  <c r="J157" i="22"/>
  <c r="I157" i="22"/>
  <c r="H157" i="22"/>
  <c r="G157" i="22"/>
  <c r="F157" i="22"/>
  <c r="E157" i="22"/>
  <c r="D157" i="22"/>
  <c r="AK65" i="21"/>
  <c r="AJ65" i="21"/>
  <c r="AI65" i="21"/>
  <c r="AH65" i="21"/>
  <c r="AG65" i="21"/>
  <c r="AF65" i="21"/>
  <c r="AE65" i="21"/>
  <c r="AD65" i="21"/>
  <c r="AC65" i="21"/>
  <c r="AB65" i="21"/>
  <c r="AA65" i="21"/>
  <c r="Z65" i="21"/>
  <c r="Y65" i="21"/>
  <c r="X65" i="21"/>
  <c r="W65" i="21"/>
  <c r="V65" i="21"/>
  <c r="U65" i="21"/>
  <c r="T65" i="21"/>
  <c r="S65" i="21"/>
  <c r="R65" i="21"/>
  <c r="Q65" i="21"/>
  <c r="P65" i="21"/>
  <c r="O65" i="21"/>
  <c r="N65" i="21"/>
  <c r="M65" i="21"/>
  <c r="L65" i="21"/>
  <c r="K65" i="21"/>
  <c r="J65" i="21"/>
  <c r="I65" i="21"/>
  <c r="H65" i="21"/>
  <c r="G65" i="21"/>
  <c r="F65" i="21"/>
  <c r="E65" i="21"/>
  <c r="D65" i="21"/>
  <c r="C49" i="20" l="1"/>
  <c r="B49" i="20"/>
  <c r="D49" i="20" s="1"/>
  <c r="D48" i="20"/>
  <c r="B11" i="20" s="1"/>
  <c r="E11" i="20" s="1"/>
  <c r="D47" i="20"/>
  <c r="B10" i="20" s="1"/>
  <c r="E10" i="20" s="1"/>
  <c r="D46" i="20"/>
  <c r="D45" i="20"/>
  <c r="D44" i="20"/>
  <c r="F38" i="20"/>
  <c r="E38" i="20"/>
  <c r="G38" i="20" s="1"/>
  <c r="D38" i="20"/>
  <c r="C38" i="20"/>
  <c r="B38" i="20"/>
  <c r="F36" i="20"/>
  <c r="E36" i="20"/>
  <c r="D36" i="20"/>
  <c r="C36" i="20"/>
  <c r="B36" i="20"/>
  <c r="C28" i="20"/>
  <c r="E27" i="20"/>
  <c r="E26" i="20"/>
  <c r="E25" i="20"/>
  <c r="E24" i="20"/>
  <c r="E23" i="20"/>
  <c r="E22" i="20"/>
  <c r="E21" i="20"/>
  <c r="E20" i="20"/>
  <c r="E19" i="20"/>
  <c r="E18" i="20"/>
  <c r="E17" i="20"/>
  <c r="E16" i="20"/>
  <c r="E15" i="20"/>
  <c r="E14" i="20"/>
  <c r="E13" i="20"/>
  <c r="F12" i="20"/>
  <c r="B9" i="20"/>
  <c r="E9" i="20" s="1"/>
  <c r="B8" i="20"/>
  <c r="E8" i="20" s="1"/>
  <c r="B7" i="20"/>
  <c r="E7" i="20" s="1"/>
  <c r="K9" i="20" l="1"/>
  <c r="B12" i="20"/>
  <c r="E12" i="20" s="1"/>
  <c r="E28" i="20"/>
  <c r="B28" i="20"/>
  <c r="B27" i="31" s="1"/>
  <c r="I27" i="31" s="1"/>
  <c r="F28" i="20"/>
  <c r="B8" i="31" l="1"/>
  <c r="E45" i="31"/>
  <c r="G15" i="20"/>
  <c r="G8" i="20"/>
  <c r="G9" i="20"/>
  <c r="G10" i="20"/>
  <c r="G11" i="20"/>
  <c r="G12" i="20"/>
  <c r="G13" i="20"/>
  <c r="G7" i="20"/>
  <c r="G14" i="20"/>
  <c r="B42" i="19"/>
  <c r="B46" i="19" s="1"/>
  <c r="B49" i="19" s="1"/>
  <c r="B51" i="19" s="1"/>
  <c r="B32" i="19"/>
  <c r="B31" i="19"/>
  <c r="B27" i="19"/>
  <c r="C31" i="19" s="1"/>
  <c r="C33" i="19" s="1"/>
  <c r="C5" i="19" s="1"/>
  <c r="C7" i="19" s="1"/>
  <c r="G28" i="20" l="1"/>
  <c r="G45" i="31"/>
  <c r="F45" i="31"/>
  <c r="B33" i="19"/>
  <c r="B5" i="19" s="1"/>
  <c r="D31" i="19"/>
  <c r="B6" i="19"/>
  <c r="D6" i="19"/>
  <c r="D32" i="19"/>
  <c r="F74" i="17" a="1"/>
  <c r="F74" i="17" s="1"/>
  <c r="D25" i="17" s="1"/>
  <c r="F73" i="17" a="1"/>
  <c r="F73" i="17" s="1"/>
  <c r="D23" i="17" s="1"/>
  <c r="F70" i="17" a="1"/>
  <c r="F70" i="17" s="1"/>
  <c r="F69" i="17" a="1"/>
  <c r="F69" i="17" s="1"/>
  <c r="F68" i="17" a="1"/>
  <c r="F68" i="17" s="1"/>
  <c r="F67" i="17" a="1"/>
  <c r="F67" i="17" s="1"/>
  <c r="F66" i="17" a="1"/>
  <c r="F66" i="17" s="1"/>
  <c r="F65" i="17" a="1"/>
  <c r="F65" i="17" s="1"/>
  <c r="F64" i="17" a="1"/>
  <c r="F64" i="17" s="1"/>
  <c r="D20" i="17" s="1"/>
  <c r="F50" i="17" a="1"/>
  <c r="F50" i="17" s="1"/>
  <c r="D9" i="17" s="1"/>
  <c r="F49" i="17" a="1"/>
  <c r="F49" i="17" s="1"/>
  <c r="D8" i="17" s="1"/>
  <c r="F48" i="17" a="1"/>
  <c r="F48" i="17" s="1"/>
  <c r="D17" i="17" s="1"/>
  <c r="F47" i="17" a="1"/>
  <c r="F47" i="17" s="1"/>
  <c r="F46" i="17" a="1"/>
  <c r="F46" i="17" s="1"/>
  <c r="F45" i="17" a="1"/>
  <c r="F45" i="17" s="1"/>
  <c r="F44" i="17" a="1"/>
  <c r="F44" i="17" s="1"/>
  <c r="F43" i="17" a="1"/>
  <c r="F43" i="17" s="1"/>
  <c r="D15" i="17" s="1"/>
  <c r="F42" i="17" a="1"/>
  <c r="F42" i="17" s="1"/>
  <c r="D14" i="17" s="1"/>
  <c r="F41" i="17" a="1"/>
  <c r="F41" i="17" s="1"/>
  <c r="F40" i="17" a="1"/>
  <c r="F40" i="17" s="1"/>
  <c r="F39" i="17" a="1"/>
  <c r="F39" i="17" s="1"/>
  <c r="F33" i="17" a="1"/>
  <c r="F33" i="17" s="1"/>
  <c r="D7" i="17" s="1"/>
  <c r="F32" i="17" a="1"/>
  <c r="F32" i="17" s="1"/>
  <c r="D6" i="17" s="1"/>
  <c r="F31" i="17" a="1"/>
  <c r="F31" i="17" s="1"/>
  <c r="D5" i="17" s="1"/>
  <c r="F30" i="17" a="1"/>
  <c r="F30" i="17" s="1"/>
  <c r="D4" i="17" s="1"/>
  <c r="F26" i="17"/>
  <c r="C25" i="17"/>
  <c r="E25" i="17" s="1"/>
  <c r="G25" i="17" s="1"/>
  <c r="D24" i="17"/>
  <c r="C24" i="17"/>
  <c r="C23" i="17" s="1"/>
  <c r="E23" i="17" s="1"/>
  <c r="G23" i="17" s="1"/>
  <c r="D22" i="17"/>
  <c r="C22" i="17"/>
  <c r="C21" i="17" s="1"/>
  <c r="C20" i="17"/>
  <c r="E20" i="17" s="1"/>
  <c r="G20" i="17" s="1"/>
  <c r="D19" i="17"/>
  <c r="C19" i="17"/>
  <c r="E19" i="17" s="1"/>
  <c r="G19" i="17" s="1"/>
  <c r="D18" i="17"/>
  <c r="C18" i="17"/>
  <c r="E18" i="17" s="1"/>
  <c r="G18" i="17" s="1"/>
  <c r="C17" i="17"/>
  <c r="C16" i="17"/>
  <c r="C15" i="17"/>
  <c r="C14" i="17"/>
  <c r="C13" i="17"/>
  <c r="D12" i="17"/>
  <c r="C12" i="17"/>
  <c r="G12" i="17" s="1"/>
  <c r="D11" i="17"/>
  <c r="C11" i="17"/>
  <c r="D10" i="17"/>
  <c r="C10" i="17"/>
  <c r="G10" i="17" s="1"/>
  <c r="C9" i="17"/>
  <c r="E9" i="17" s="1"/>
  <c r="G9" i="17" s="1"/>
  <c r="C8" i="17"/>
  <c r="E8" i="17" s="1"/>
  <c r="G8" i="17" s="1"/>
  <c r="C7" i="17"/>
  <c r="C6" i="17"/>
  <c r="C5" i="17"/>
  <c r="C4" i="17"/>
  <c r="B7" i="19" l="1"/>
  <c r="D33" i="19"/>
  <c r="D7" i="19" s="1"/>
  <c r="D16" i="17"/>
  <c r="E16" i="17" s="1"/>
  <c r="G16" i="17" s="1"/>
  <c r="D21" i="17"/>
  <c r="E21" i="17" s="1"/>
  <c r="G21" i="17" s="1"/>
  <c r="D13" i="17"/>
  <c r="E13" i="17" s="1"/>
  <c r="G13" i="17" s="1"/>
  <c r="E14" i="17"/>
  <c r="G14" i="17" s="1"/>
  <c r="E4" i="17"/>
  <c r="G4" i="17" s="1"/>
  <c r="C26" i="17"/>
  <c r="E6" i="17"/>
  <c r="G6" i="17" s="1"/>
  <c r="G11" i="17"/>
  <c r="E15" i="17"/>
  <c r="G15" i="17" s="1"/>
  <c r="E7" i="17"/>
  <c r="G7" i="17" s="1"/>
  <c r="E5" i="17"/>
  <c r="G5" i="17" s="1"/>
  <c r="E17" i="17"/>
  <c r="G17" i="17" s="1"/>
  <c r="G22" i="17"/>
  <c r="G24" i="17"/>
  <c r="B23" i="16"/>
  <c r="B22" i="16"/>
  <c r="B21" i="16"/>
  <c r="D26" i="17" l="1"/>
  <c r="G26" i="17"/>
  <c r="L4" i="10"/>
  <c r="K4" i="10"/>
  <c r="B51" i="10"/>
  <c r="G4" i="10" l="1"/>
  <c r="G8" i="12" l="1"/>
  <c r="F8" i="12"/>
  <c r="E19" i="12"/>
  <c r="E8" i="12"/>
  <c r="L19" i="10"/>
  <c r="P19" i="10" s="1"/>
  <c r="G19" i="12" s="1"/>
  <c r="K19" i="10"/>
  <c r="O19" i="10" s="1"/>
  <c r="F19" i="12" s="1"/>
  <c r="L18" i="10"/>
  <c r="L17" i="10"/>
  <c r="L16" i="10"/>
  <c r="L15" i="10"/>
  <c r="L13" i="10"/>
  <c r="L12" i="10"/>
  <c r="L11" i="10"/>
  <c r="L10" i="10"/>
  <c r="L9" i="10"/>
  <c r="L7" i="10"/>
  <c r="L6" i="10"/>
  <c r="K18" i="10"/>
  <c r="K17" i="10"/>
  <c r="K16" i="10"/>
  <c r="K15" i="10"/>
  <c r="K13" i="10"/>
  <c r="K12" i="10"/>
  <c r="K11" i="10"/>
  <c r="K10" i="10"/>
  <c r="K9" i="10"/>
  <c r="K7" i="10"/>
  <c r="K6" i="10"/>
  <c r="H19" i="12" l="1"/>
  <c r="M19" i="10"/>
  <c r="H8" i="12"/>
  <c r="I8" i="10" l="1"/>
  <c r="H11" i="10"/>
  <c r="H7" i="10"/>
  <c r="D18" i="4"/>
  <c r="H13" i="10" s="1"/>
  <c r="D17" i="4"/>
  <c r="H18" i="10" s="1"/>
  <c r="D16" i="4"/>
  <c r="D15" i="4"/>
  <c r="D14" i="4"/>
  <c r="H15" i="10" s="1"/>
  <c r="D13" i="4"/>
  <c r="H17" i="10" s="1"/>
  <c r="D12" i="4"/>
  <c r="D11" i="4"/>
  <c r="D10" i="4"/>
  <c r="D9" i="4"/>
  <c r="H9" i="10" s="1"/>
  <c r="D8" i="4"/>
  <c r="H6" i="10" s="1"/>
  <c r="D7" i="4"/>
  <c r="H5" i="10" s="1"/>
  <c r="D6" i="4"/>
  <c r="H4" i="10" s="1"/>
  <c r="D5" i="4"/>
  <c r="C19" i="4"/>
  <c r="G18" i="10"/>
  <c r="G17" i="10"/>
  <c r="G16" i="10"/>
  <c r="G14" i="10"/>
  <c r="I14" i="10" s="1"/>
  <c r="G13" i="10"/>
  <c r="G11" i="10"/>
  <c r="G10" i="10"/>
  <c r="G9" i="10"/>
  <c r="G6" i="10"/>
  <c r="B55" i="10"/>
  <c r="G15" i="10" s="1"/>
  <c r="B54" i="10"/>
  <c r="G12" i="10" s="1"/>
  <c r="B53" i="10"/>
  <c r="G7" i="10" s="1"/>
  <c r="B52" i="10"/>
  <c r="C5" i="10"/>
  <c r="D5" i="10"/>
  <c r="I15" i="10" l="1"/>
  <c r="I18" i="10"/>
  <c r="I13" i="10"/>
  <c r="I4" i="10"/>
  <c r="I12" i="10"/>
  <c r="G5" i="10"/>
  <c r="I5" i="10" s="1"/>
  <c r="J5" i="10" s="1"/>
  <c r="K5" i="10"/>
  <c r="K21" i="10" s="1"/>
  <c r="L5" i="10"/>
  <c r="L21" i="10" s="1"/>
  <c r="I6" i="10"/>
  <c r="I10" i="10"/>
  <c r="I16" i="10"/>
  <c r="I17" i="10"/>
  <c r="I11" i="10"/>
  <c r="I9" i="10"/>
  <c r="I7" i="10"/>
  <c r="J15" i="10"/>
  <c r="M15" i="10" s="1"/>
  <c r="P9" i="10"/>
  <c r="G9" i="12" s="1"/>
  <c r="P11" i="10"/>
  <c r="G11" i="12" s="1"/>
  <c r="J18" i="10"/>
  <c r="N18" i="10" s="1"/>
  <c r="E18" i="12" s="1"/>
  <c r="D24" i="10"/>
  <c r="D25" i="10" s="1"/>
  <c r="D26" i="10" s="1"/>
  <c r="I20" i="10"/>
  <c r="B19" i="4"/>
  <c r="D19" i="4" s="1"/>
  <c r="P10" i="10"/>
  <c r="G10" i="12" s="1"/>
  <c r="P6" i="10"/>
  <c r="G6" i="12" s="1"/>
  <c r="J13" i="10" l="1"/>
  <c r="N13" i="10" s="1"/>
  <c r="E13" i="12" s="1"/>
  <c r="J17" i="10"/>
  <c r="M17" i="10" s="1"/>
  <c r="J16" i="10"/>
  <c r="N16" i="10" s="1"/>
  <c r="E16" i="12" s="1"/>
  <c r="J6" i="10"/>
  <c r="M6" i="10" s="1"/>
  <c r="J9" i="10"/>
  <c r="M9" i="10" s="1"/>
  <c r="J10" i="10"/>
  <c r="M10" i="10" s="1"/>
  <c r="J11" i="10"/>
  <c r="M11" i="10" s="1"/>
  <c r="J12" i="10"/>
  <c r="N12" i="10" s="1"/>
  <c r="J4" i="10"/>
  <c r="M4" i="10" s="1"/>
  <c r="P5" i="10"/>
  <c r="J7" i="10"/>
  <c r="M7" i="10" s="1"/>
  <c r="M5" i="10"/>
  <c r="M18" i="10"/>
  <c r="P12" i="10"/>
  <c r="G12" i="12" s="1"/>
  <c r="O13" i="10"/>
  <c r="F13" i="12" s="1"/>
  <c r="P13" i="10"/>
  <c r="G13" i="12" s="1"/>
  <c r="N15" i="10"/>
  <c r="E15" i="12" s="1"/>
  <c r="O15" i="10"/>
  <c r="F15" i="12" s="1"/>
  <c r="P15" i="10"/>
  <c r="G15" i="12" s="1"/>
  <c r="O16" i="10"/>
  <c r="F16" i="12" s="1"/>
  <c r="P16" i="10"/>
  <c r="G16" i="12" s="1"/>
  <c r="E14" i="12"/>
  <c r="O12" i="10"/>
  <c r="P17" i="10"/>
  <c r="G17" i="12" s="1"/>
  <c r="O17" i="10"/>
  <c r="F17" i="12" s="1"/>
  <c r="P18" i="10"/>
  <c r="G18" i="12" s="1"/>
  <c r="P4" i="10"/>
  <c r="O4" i="10"/>
  <c r="O7" i="10"/>
  <c r="O10" i="10"/>
  <c r="F10" i="12" s="1"/>
  <c r="O9" i="10"/>
  <c r="F9" i="12" s="1"/>
  <c r="M16" i="10" l="1"/>
  <c r="N6" i="10"/>
  <c r="E6" i="12" s="1"/>
  <c r="E12" i="12"/>
  <c r="H12" i="12" s="1"/>
  <c r="M13" i="10"/>
  <c r="H13" i="12"/>
  <c r="M12" i="10"/>
  <c r="H15" i="12"/>
  <c r="N11" i="10"/>
  <c r="E11" i="12" s="1"/>
  <c r="H16" i="12"/>
  <c r="J21" i="10"/>
  <c r="G4" i="12"/>
  <c r="F4" i="12"/>
  <c r="G14" i="12"/>
  <c r="F14" i="12"/>
  <c r="O5" i="10"/>
  <c r="P7" i="10"/>
  <c r="G7" i="12" s="1"/>
  <c r="H7" i="12" s="1"/>
  <c r="O18" i="10"/>
  <c r="F18" i="12" s="1"/>
  <c r="H18" i="12" s="1"/>
  <c r="O11" i="10"/>
  <c r="F11" i="12" s="1"/>
  <c r="N10" i="10"/>
  <c r="E10" i="12" s="1"/>
  <c r="H10" i="12" s="1"/>
  <c r="N17" i="10"/>
  <c r="E17" i="12" s="1"/>
  <c r="H17" i="12" s="1"/>
  <c r="N7" i="10"/>
  <c r="O6" i="10"/>
  <c r="F6" i="12" s="1"/>
  <c r="H6" i="12" s="1"/>
  <c r="N9" i="10"/>
  <c r="E9" i="12" s="1"/>
  <c r="H9" i="12" s="1"/>
  <c r="N5" i="10"/>
  <c r="E5" i="12" s="1"/>
  <c r="N4" i="10"/>
  <c r="B27" i="12" l="1"/>
  <c r="B29" i="12" s="1"/>
  <c r="M21" i="10"/>
  <c r="O21" i="10"/>
  <c r="H11" i="12"/>
  <c r="H5" i="12"/>
  <c r="P21" i="10"/>
  <c r="H14" i="12"/>
  <c r="G20" i="12"/>
  <c r="F20" i="12"/>
  <c r="C22" i="31" s="1"/>
  <c r="C34" i="31" s="1"/>
  <c r="E4" i="12"/>
  <c r="N21" i="10"/>
  <c r="E20" i="12" l="1"/>
  <c r="B24" i="31" s="1"/>
  <c r="H4" i="12"/>
  <c r="H20" i="12" s="1"/>
  <c r="I24" i="31" l="1"/>
  <c r="B22" i="31"/>
  <c r="B5" i="31" l="1"/>
  <c r="B3" i="31" s="1"/>
  <c r="E42" i="31"/>
  <c r="B34" i="31"/>
  <c r="I34" i="31" s="1"/>
  <c r="I22" i="31"/>
  <c r="E40" i="31" s="1"/>
  <c r="F40" i="31" l="1"/>
  <c r="G40" i="31"/>
  <c r="G42" i="31"/>
  <c r="F42" i="31"/>
  <c r="E52" i="31"/>
  <c r="B15" i="31"/>
  <c r="C3" i="31" s="1"/>
  <c r="C11" i="31" l="1"/>
  <c r="C10" i="31"/>
  <c r="C8" i="31"/>
  <c r="C14" i="31"/>
  <c r="C9" i="31"/>
  <c r="F52" i="31"/>
  <c r="C15" i="3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Gopi Manne</author>
  </authors>
  <commentList>
    <comment ref="E7" authorId="0" shapeId="0" xr:uid="{0E662771-4BA8-437C-9ED0-67FD3DB44162}">
      <text>
        <r>
          <rPr>
            <b/>
            <sz val="9"/>
            <color indexed="81"/>
            <rFont val="Tahoma"/>
            <family val="2"/>
          </rPr>
          <t>Gopi Manne:</t>
        </r>
        <r>
          <rPr>
            <sz val="9"/>
            <color indexed="81"/>
            <rFont val="Tahoma"/>
            <family val="2"/>
          </rPr>
          <t xml:space="preserve">
Emissions zeroed out, included under the nonroad sector. </t>
        </r>
      </text>
    </comment>
    <comment ref="F12" authorId="0" shapeId="0" xr:uid="{273390F3-102C-41A6-8870-7D3809BF42E7}">
      <text>
        <r>
          <rPr>
            <b/>
            <sz val="9"/>
            <color indexed="81"/>
            <rFont val="Tahoma"/>
            <family val="2"/>
          </rPr>
          <t>Gopi Manne:</t>
        </r>
        <r>
          <rPr>
            <sz val="9"/>
            <color indexed="81"/>
            <rFont val="Tahoma"/>
            <family val="2"/>
          </rPr>
          <t xml:space="preserve">
Emissions zeroed out, included under the nonroad sector.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tc={5B38D379-03A1-41E9-8C23-BA8F4FB2694C}</author>
    <author>tc={A7977675-DCD8-4B61-AC72-25F9DB191668}</author>
  </authors>
  <commentList>
    <comment ref="Y1" authorId="0" shapeId="0" xr:uid="{5B38D379-03A1-41E9-8C23-BA8F4FB2694C}">
      <text>
        <t>[Threaded comment]
Your version of Excel allows you to read this threaded comment; however, any edits to it will get removed if the file is opened in a newer version of Excel. Learn more: https://go.microsoft.com/fwlink/?linkid=870924
Comment:
    MOVES output based on EIA SEDS fuel consumption data</t>
      </text>
    </comment>
    <comment ref="AJ1" authorId="1" shapeId="0" xr:uid="{A7977675-DCD8-4B61-AC72-25F9DB191668}">
      <text>
        <t>[Threaded comment]
Your version of Excel allows you to read this threaded comment; however, any edits to it will get removed if the file is opened in a newer version of Excel. Learn more: https://go.microsoft.com/fwlink/?linkid=870924
Comment:
    MOVES output based on EIA SEDS fuel consumption data</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tc={C8D8C0BD-018D-4046-AEFD-9B7467C730A2}</author>
  </authors>
  <commentList>
    <comment ref="A14" authorId="0" shapeId="0" xr:uid="{C8D8C0BD-018D-4046-AEFD-9B7467C730A2}">
      <text>
        <t>[Threaded comment]
Your version of Excel allows you to read this threaded comment; however, any edits to it will get removed if the file is opened in a newer version of Excel. Learn more: https://go.microsoft.com/fwlink/?linkid=870924
Comment:
    Other petroleum products = Misc petroleum products+Still Gas+Waxes. Excluding to avoid double counting.</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tc={F7E7EA1F-0FDD-4903-A67E-4D5A2BB81EF8}</author>
    <author>tc={DF1230BD-2C72-486D-AF3B-755229DBEF16}</author>
    <author>tc={204376BE-80E0-4AB2-851A-EA84A4356EA0}</author>
  </authors>
  <commentList>
    <comment ref="A1" authorId="0" shapeId="0" xr:uid="{F7E7EA1F-0FDD-4903-A67E-4D5A2BB81EF8}">
      <text>
        <t>[Threaded comment]
Your version of Excel allows you to read this threaded comment; however, any edits to it will get removed if the file is opened in a newer version of Excel. Learn more: https://go.microsoft.com/fwlink/?linkid=870924
Comment:
    State=NM, Pollutant=SO2, SCC Level 4=Line Haul Locomotives:*, Yard Locomotives. From 2022v1 Emissions Modeling Platform | US EPA 2022v1 Emissions Data Retrieval Tool</t>
      </text>
    </comment>
    <comment ref="U1" authorId="1" shapeId="0" xr:uid="{DF1230BD-2C72-486D-AF3B-755229DBEF16}">
      <text>
        <t>[Threaded comment]
Your version of Excel allows you to read this threaded comment; however, any edits to it will get removed if the file is opened in a newer version of Excel. Learn more: https://go.microsoft.com/fwlink/?linkid=870924
Comment:
    EIA CO2 emissions factor for diesel (U.S. Energy Information Administration - EIA - Independent Statistics and Analysis )</t>
      </text>
    </comment>
    <comment ref="S2" authorId="2" shapeId="0" xr:uid="{204376BE-80E0-4AB2-851A-EA84A4356EA0}">
      <text>
        <t>[Threaded comment]
Your version of Excel allows you to read this threaded comment; however, any edits to it will get removed if the file is opened in a newer version of Excel. Learn more: https://go.microsoft.com/fwlink/?linkid=870924
Comment:
    From EMP 2022v1 (Index of /Air/emismod/2022/v1/reports/mobile/rail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tc={577D1F0F-E779-42FC-8092-9792195F726F}</author>
    <author>tc={211C3995-504E-4178-86D3-23408FB53021}</author>
    <author>tc={018F5EC4-20E7-434A-8894-F27928FE7CFF}</author>
    <author>tc={D4DD0704-D00D-495D-9091-0520AD4CD072}</author>
    <author>tc={5C133976-F084-41C3-8609-550FCEF2A6B4}</author>
  </authors>
  <commentList>
    <comment ref="B7" authorId="0" shapeId="0" xr:uid="{577D1F0F-E779-42FC-8092-9792195F726F}">
      <text>
        <t>[Threaded comment]
Your version of Excel allows you to read this threaded comment; however, any edits to it will get removed if the file is opened in a newer version of Excel. Learn more: https://go.microsoft.com/fwlink/?linkid=870924
Comment:
    The biomass plant in question is actually 35% gas / 65% biomass, so it emits both fossil carbon and biomass carbon.</t>
      </text>
    </comment>
    <comment ref="H8" authorId="1" shapeId="0" xr:uid="{211C3995-504E-4178-86D3-23408FB53021}">
      <text>
        <t>[Threaded comment]
Your version of Excel allows you to read this threaded comment; however, any edits to it will get removed if the file is opened in a newer version of Excel. Learn more: https://go.microsoft.com/fwlink/?linkid=870924
Comment:
    The Four Corners power plant was excluded from the GHG inventory because it is a tribal source on the Navajo Nation; as such, it does not fall under state authority.</t>
      </text>
    </comment>
    <comment ref="A13" authorId="2" shapeId="0" xr:uid="{018F5EC4-20E7-434A-8894-F27928FE7CFF}">
      <text>
        <t>[Threaded comment]
Your version of Excel allows you to read this threaded comment; however, any edits to it will get removed if the file is opened in a newer version of Excel. Learn more: https://go.microsoft.com/fwlink/?linkid=870924
Comment:
    “Other Fuel” includes waste heat, hydrogen, purchased, and unknown. Could also be electricity released from storage.</t>
      </text>
    </comment>
    <comment ref="E26" authorId="3" shapeId="0" xr:uid="{D4DD0704-D00D-495D-9091-0520AD4CD072}">
      <text>
        <t>[Threaded comment]
Your version of Excel allows you to read this threaded comment; however, any edits to it will get removed if the file is opened in a newer version of Excel. Learn more: https://go.microsoft.com/fwlink/?linkid=870924
Comment:
    The Four Corners power plant was excluded from the GHG inventory because it is a tribal source on the Navajo Nation; as such, it does not fall under state authority.</t>
      </text>
    </comment>
    <comment ref="A31" authorId="4" shapeId="0" xr:uid="{5C133976-F084-41C3-8609-550FCEF2A6B4}">
      <text>
        <t>[Threaded comment]
Your version of Excel allows you to read this threaded comment; however, any edits to it will get removed if the file is opened in a newer version of Excel. Learn more: https://go.microsoft.com/fwlink/?linkid=870924
Comment:
    “Other Fuel” includes waste heat, hydrogen, purchased, and unknown. Could also be electricity released from storage.</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tc={9E01159F-1939-4A62-9E42-B81FA3D74C5B}</author>
    <author>tc={8ACB6BE9-74D0-48E8-AA04-CBDAFF132F4E}</author>
    <author>tc={B6A040EE-E5C7-48EE-AEC7-8F516693B9BC}</author>
    <author>tc={93944E57-AC59-484D-90E1-0D84D264EE27}</author>
    <author>tc={6001175E-D1E7-42C6-977B-91A5E64E2998}</author>
  </authors>
  <commentList>
    <comment ref="B19" authorId="0" shapeId="0" xr:uid="{9E01159F-1939-4A62-9E42-B81FA3D74C5B}">
      <text>
        <t>[Threaded comment]
Your version of Excel allows you to read this threaded comment; however, any edits to it will get removed if the file is opened in a newer version of Excel. Learn more: https://go.microsoft.com/fwlink/?linkid=870924
Comment:
    EXCLUDING DENATURANT
“Fuel ethanol contains a small amount of denaturant, which is added to make the finished product unsuitable for human consumption. Fuel ethanol denaturant is typically natural gasoline (pentanes plus) or conventional gasoline. These volumes are already accounted for under petroleum. Therefore, to avoid double-counting, and to separately identify the renewable content of fuel ethanol, EIA estimates the Btu content of fuel ethanol excluding denaturant consumed by the United States.” (p.117)</t>
      </text>
    </comment>
    <comment ref="E19" authorId="1" shapeId="0" xr:uid="{8ACB6BE9-74D0-48E8-AA04-CBDAFF132F4E}">
      <text>
        <t>[Threaded comment]
Your version of Excel allows you to read this threaded comment; however, any edits to it will get removed if the file is opened in a newer version of Excel. Learn more: https://go.microsoft.com/fwlink/?linkid=870924
Comment:
    INCLUDING DENATURANT
“The fuel ethanol volume in physical units is denatured fuel ethanol, which includes a small amount of denaturant added to the fuel ethanol to make it unfit for human consumption.” (p.115)</t>
      </text>
    </comment>
    <comment ref="A54" authorId="2" shapeId="0" xr:uid="{B6A040EE-E5C7-48EE-AEC7-8F516693B9BC}">
      <text>
        <t>[Threaded comment]
Your version of Excel allows you to read this threaded comment; however, any edits to it will get removed if the file is opened in a newer version of Excel. Learn more: https://go.microsoft.com/fwlink/?linkid=870924
Comment:
    SEDS allocates fuel ethanol to the commercial, industrial, and transportation sectors according to the motor gasoline consumption share for each sector. It therefore seems reasonable to allocate the deductions from the transportation sector in proportion to the motor gasoline emissions,</t>
      </text>
    </comment>
    <comment ref="G63" authorId="3" shapeId="0" xr:uid="{93944E57-AC59-484D-90E1-0D84D264EE27}">
      <text>
        <t>[Threaded comment]
Your version of Excel allows you to read this threaded comment; however, any edits to it will get removed if the file is opened in a newer version of Excel. Learn more: https://go.microsoft.com/fwlink/?linkid=870924
Comment:
    Although counterintuitive, SEDS includes commercial uses of motor gasoline in the industrial sector (see notes below).</t>
      </text>
    </comment>
    <comment ref="E93" authorId="4" shapeId="0" xr:uid="{6001175E-D1E7-42C6-977B-91A5E64E2998}">
      <text>
        <t>[Threaded comment]
Your version of Excel allows you to read this threaded comment; however, any edits to it will get removed if the file is opened in a newer version of Excel. Learn more: https://go.microsoft.com/fwlink/?linkid=870924
Comment:
    Total annual net generation in NM in 2023 totaled 31.8 million MWh (excluding Four Corners), so commercial plants represent 0.3%.</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<sst xmlns="http://schemas.openxmlformats.org/spreadsheetml/2006/main" count="6044" uniqueCount="1475">
  <si>
    <t>Industry: Industrial Fuel Combustion</t>
  </si>
  <si>
    <t>Fuel Type</t>
  </si>
  <si>
    <t>Fuel SubType</t>
  </si>
  <si>
    <t>Year</t>
  </si>
  <si>
    <t>State</t>
  </si>
  <si>
    <t>2023_CO2 (MT)</t>
  </si>
  <si>
    <t>2023_CH4 (MT)</t>
  </si>
  <si>
    <t>2023_N2O (MT)</t>
  </si>
  <si>
    <t>2023_Total CO2E (MMT)</t>
  </si>
  <si>
    <t>Coal</t>
  </si>
  <si>
    <t>NM</t>
  </si>
  <si>
    <t>Natural Gas</t>
  </si>
  <si>
    <t>&lt;-- EGU sector adjustment</t>
  </si>
  <si>
    <t>Petroleum</t>
  </si>
  <si>
    <t>Asphalt and road oil</t>
  </si>
  <si>
    <t>Distillate</t>
  </si>
  <si>
    <t>&lt;-- Nonroad sector adjustment</t>
  </si>
  <si>
    <t>Fuel ethanol</t>
  </si>
  <si>
    <t>HGL</t>
  </si>
  <si>
    <t>Kerosene</t>
  </si>
  <si>
    <t>Lubricants</t>
  </si>
  <si>
    <t>Motor gasoline</t>
  </si>
  <si>
    <t>&lt;-- Nonroad &amp; Commercial sector adjustment</t>
  </si>
  <si>
    <t>Misc petroleum products</t>
  </si>
  <si>
    <t>Other petroleum products</t>
  </si>
  <si>
    <t>Petroleum Coke</t>
  </si>
  <si>
    <t>Propane</t>
  </si>
  <si>
    <t>Still Gas</t>
  </si>
  <si>
    <t>Waxes</t>
  </si>
  <si>
    <t>Wood</t>
  </si>
  <si>
    <t>All</t>
  </si>
  <si>
    <t>This table applies the sector adjustments to results from the "IndFuel_NM_Pre-sector adj" worksheet.</t>
  </si>
  <si>
    <t>Nonroad Adjustment:</t>
  </si>
  <si>
    <t>Nonroad adjustment for motor gasoline and diesel fuel quantities reported under industrial segment by SEDS. SEDS includes gasoline and diesel consumption from agricultural, construction, and other industrial and commercial nonroad sources within the industrial sector consumption data. Since Nonroad sector emissions were estimated using MOVES and include all nonroad sources (agriculture, lawn &amp; garden, construction, industrial, commercial, logging, etc.), nonroad emissions for gasoline and diesel from ag, const, ind, comm, logging, etc. are deducted from industrial emissions to avoid double-counting.</t>
  </si>
  <si>
    <t>metric tons</t>
  </si>
  <si>
    <t>Fuel</t>
  </si>
  <si>
    <t>Nonroad CO2</t>
  </si>
  <si>
    <t>Nonroad CH4</t>
  </si>
  <si>
    <t>Motor Gasoline</t>
  </si>
  <si>
    <t>CHP-EGU-Adjustment:</t>
  </si>
  <si>
    <t>SEDS reported fuel quantity for the industrial sector includes fuel used for electricity/thermal output at CHP plants that are co-located at industrial and commercial facilities and use all energy for on-site purposes (i.e., no energy sales to public/grid).</t>
  </si>
  <si>
    <t>Deduct emissions from Chino Mines CHP from industrial natural gas emissions to avoid double-counting between industrial and EGU sectors.</t>
  </si>
  <si>
    <t>Plant file sequence number</t>
  </si>
  <si>
    <t>Data Year</t>
  </si>
  <si>
    <t>Plant state abbreviation</t>
  </si>
  <si>
    <t>Plant name</t>
  </si>
  <si>
    <t>Utility name</t>
  </si>
  <si>
    <t>Utility ID</t>
  </si>
  <si>
    <t>Plant-level sector</t>
  </si>
  <si>
    <t>Number of units</t>
  </si>
  <si>
    <t>Number of generators</t>
  </si>
  <si>
    <t>Plant primary fuel</t>
  </si>
  <si>
    <t>Plant annual CO2 emissions (tons)</t>
  </si>
  <si>
    <t>Plant annual CH4 emissions (lbs)</t>
  </si>
  <si>
    <t>Plant annual N2O emissions (lbs)</t>
  </si>
  <si>
    <t>Chino Mines</t>
  </si>
  <si>
    <t>FreePort-McMoRan-Corp-Chino Mines</t>
  </si>
  <si>
    <t>Industrial Non-CHP</t>
  </si>
  <si>
    <t>NG</t>
  </si>
  <si>
    <t>CO (MT)</t>
  </si>
  <si>
    <t>CH4 (MT)</t>
  </si>
  <si>
    <t>N2O (MT)</t>
  </si>
  <si>
    <t xml:space="preserve">1 short ton = </t>
  </si>
  <si>
    <t>metric ton</t>
  </si>
  <si>
    <t>Commercial Sector Adjustment:</t>
  </si>
  <si>
    <t>Exclude commercial motor gasoline CO2 and CH4 emissions from industrial as the SEDS data groups industrial and commercial gasoline quantity together.</t>
  </si>
  <si>
    <t>Commercial</t>
  </si>
  <si>
    <t>CO2 (MT)</t>
  </si>
  <si>
    <t>Energy Data (BBTU)</t>
  </si>
  <si>
    <t xml:space="preserve">Physical Data </t>
  </si>
  <si>
    <t>Physical Data Units</t>
  </si>
  <si>
    <t>Notes</t>
  </si>
  <si>
    <t xml:space="preserve">Adjusted_BBTU (See Row 50 for details) </t>
  </si>
  <si>
    <t>%NEU_National_2023 (2025GHGI)</t>
  </si>
  <si>
    <t>EnergyUse_NM (BBTU)</t>
  </si>
  <si>
    <t>CO2 (MMT)</t>
  </si>
  <si>
    <t>CH4 (MMT)</t>
  </si>
  <si>
    <t>N2O (MMT)</t>
  </si>
  <si>
    <t>Total CO2E (MMT)</t>
  </si>
  <si>
    <t>1000 Short Tons</t>
  </si>
  <si>
    <t>Zero consumption for coking coal</t>
  </si>
  <si>
    <t>MMCF</t>
  </si>
  <si>
    <t>Excluding supplemental gaseous fuels and lease and plant fuel (combustion emissions covered under O&amp;G). Original SEDS estimate is 130,694 MMCF/134,128 BBTU of NG.</t>
  </si>
  <si>
    <t>1000 BBL</t>
  </si>
  <si>
    <t>Excludes biofuels</t>
  </si>
  <si>
    <t>Pentanes Plus (Natural Gasoline) consumption is zero</t>
  </si>
  <si>
    <t>NA</t>
  </si>
  <si>
    <t>Physical quantity not published</t>
  </si>
  <si>
    <t>Energy data excludes fuel ethanol</t>
  </si>
  <si>
    <t>Electricity</t>
  </si>
  <si>
    <t>Million kilowatthours</t>
  </si>
  <si>
    <t>GWP:</t>
  </si>
  <si>
    <t>CO2</t>
  </si>
  <si>
    <t>BBTU/MMCF</t>
  </si>
  <si>
    <t>CH4</t>
  </si>
  <si>
    <t>BBTU</t>
  </si>
  <si>
    <t>N2O</t>
  </si>
  <si>
    <t>Natural gas consumed as lease and plant fuel, by state: https://www.eia.gov/dnav/ng/ng_cons_sum_a_EPG0_vcl_mmcf_a.htm</t>
  </si>
  <si>
    <t>Lease Fuel, NM</t>
  </si>
  <si>
    <t>Plant Fuel, NM</t>
  </si>
  <si>
    <t>CO2 for NG combustion (O&amp;G NM) = 18 TG</t>
  </si>
  <si>
    <t>Industrial customers</t>
  </si>
  <si>
    <r>
      <t xml:space="preserve">1) Should we keep lease and plant fuel in industrial or is this accounted in O&amp;G? </t>
    </r>
    <r>
      <rPr>
        <b/>
        <i/>
        <u/>
        <sz val="11"/>
        <color rgb="FFFF0000"/>
        <rFont val="Aptos Narrow"/>
        <family val="2"/>
        <scheme val="minor"/>
      </rPr>
      <t>Exclude. Per conversation with NM O&amp;G team, combustion CO2 and CH4 are included in O&amp;G segment.</t>
    </r>
  </si>
  <si>
    <t>Adjustment Notes:</t>
  </si>
  <si>
    <t>1) Excluding lease and plant fuel from NG industrial. Lease and plant fuel combustion emissions are covered under O&amp;G sector. See rows 30-33 for adjustment details.</t>
  </si>
  <si>
    <t>2) Supplemental gas (NG adjustment) consumption for industrial is zero for NM</t>
  </si>
  <si>
    <t>3) NG adjustment for ammonia production is zero for NM (1990-2022 state inventory)</t>
  </si>
  <si>
    <t>4) NG adjustment for I&amp;S production is zero for NM (1990-2022 state inventory)</t>
  </si>
  <si>
    <t>5) Pentanes Plus (Natural Gasoline) consumption for industrial is zero for NM</t>
  </si>
  <si>
    <t>6) Coking coal consumption for industrial is zero for NM</t>
  </si>
  <si>
    <t>7) Distillate consumption for NM (industrial sector) excludes biofuels (SEDS category)</t>
  </si>
  <si>
    <t>8) Distillate adjustment for I&amp;S production is zero for NM (1990-2022 state inventory)</t>
  </si>
  <si>
    <t>9) Motor Gasoline consumption for NM (industrial sector) excludes fuel ethanol (SEDS category)</t>
  </si>
  <si>
    <t>10) Synthetic natural gas production (coal adjustment) for NM is zero.</t>
  </si>
  <si>
    <t>11) The following fuels have zero consumption for NM industrial sector: Residual fuel, petroleum feedstocks, special naphtha, and unfinished oils.</t>
  </si>
  <si>
    <t>12) Adjust Sectoral Allocation of fuels to match Inventory totals:</t>
  </si>
  <si>
    <t>Ratio of national adjustment for 2022 (1990-2022 state inventory), by fuel type (i.e., National total/sum of adjusted state totals [state totals adjusted for IPPU])</t>
  </si>
  <si>
    <t>A) Coal</t>
  </si>
  <si>
    <t>Tables A-25 and A-26</t>
  </si>
  <si>
    <t>Fuel consumption values (2022) in Tbtu from Appendix A excel tables. These are appendices to the main 1990-2022 report.</t>
  </si>
  <si>
    <t>B) Natural Gas</t>
  </si>
  <si>
    <t>Tables A-31 and A-32</t>
  </si>
  <si>
    <t xml:space="preserve">C) Distillate </t>
  </si>
  <si>
    <t>Tables A-39 and A-40</t>
  </si>
  <si>
    <t>D) Motor Gasoline</t>
  </si>
  <si>
    <t>Tables A-42 and A-43</t>
  </si>
  <si>
    <t>E) Petroleum Coke</t>
  </si>
  <si>
    <t>Tables A-44 and A-45</t>
  </si>
  <si>
    <t>Non-Energy Use (NEU) of fuels - See "Non-energy Fuel Use" worksheet.</t>
  </si>
  <si>
    <t>1) Calculate %NEU quantity for all applicable fuels using national level data for 2023 from the 1990-2023 GHGI</t>
  </si>
  <si>
    <t>2) Apply the calculated %NEU ratios to 2023 NM fuel quantities to calculate NEU quantity by fuel.</t>
  </si>
  <si>
    <t>3) Exclude the NEU fuel quantity from energy calculations in rows 1-19.</t>
  </si>
  <si>
    <r>
      <rPr>
        <b/>
        <i/>
        <sz val="11"/>
        <color theme="1"/>
        <rFont val="Aptos Narrow"/>
        <family val="2"/>
        <scheme val="minor"/>
      </rPr>
      <t>International Bunker Fuels:</t>
    </r>
    <r>
      <rPr>
        <sz val="11"/>
        <color theme="1"/>
        <rFont val="Aptos Narrow"/>
        <family val="2"/>
        <scheme val="minor"/>
      </rPr>
      <t xml:space="preserve"> Per the 1990-2022 state GHGI, 0% of industrial distillate in NM is used for International Bunker Fuels. Therefore, IBF adjustment for NM for 2023 is zero (assuming 2022 data as proxy).</t>
    </r>
  </si>
  <si>
    <t>CH4 EF (mt/Bbtu)</t>
  </si>
  <si>
    <t>N2O EF (mt/Bbtu)</t>
  </si>
  <si>
    <t>0.01002</t>
  </si>
  <si>
    <t>0.00150</t>
  </si>
  <si>
    <t>0.00095</t>
  </si>
  <si>
    <t>0.00009</t>
  </si>
  <si>
    <t>0.00301</t>
  </si>
  <si>
    <t>0.00060</t>
  </si>
  <si>
    <t>0.02849</t>
  </si>
  <si>
    <t>0.00380</t>
  </si>
  <si>
    <t>CO2:</t>
  </si>
  <si>
    <t>Table A-21 and A-22 (National GHGI Annex 2025GHGI, 1990-2023)</t>
  </si>
  <si>
    <t>C Content Coefficients (MMT C/QBtu)</t>
  </si>
  <si>
    <t>CO2 Content Coefficients (MMT CO2/QBtu)</t>
  </si>
  <si>
    <t>10^6 billions = 1 quad</t>
  </si>
  <si>
    <t>2023, National-level data (1990-2023 NIR EDF)</t>
  </si>
  <si>
    <t>Table A-4 (NIR Annex)</t>
  </si>
  <si>
    <t>Table 3-24 (NIR)</t>
  </si>
  <si>
    <t>QC Column</t>
  </si>
  <si>
    <t>Total Tbtu_Industrial 2023</t>
  </si>
  <si>
    <t>NEU Tbtu_Ind 2023</t>
  </si>
  <si>
    <t>%NEU_National_2023</t>
  </si>
  <si>
    <t>2022 %NEU_National</t>
  </si>
  <si>
    <t>Coking coal</t>
  </si>
  <si>
    <t>Zero consumption for NM in 2023 (SEDS)</t>
  </si>
  <si>
    <t>Industrial Other Coal (Excludes coking coal)</t>
  </si>
  <si>
    <t>Asphalt &amp; Road Oil</t>
  </si>
  <si>
    <t>Naphtha (&lt;401 deg. F)</t>
  </si>
  <si>
    <t>Other Oil (&gt;401 deg. F)</t>
  </si>
  <si>
    <t xml:space="preserve">Petroleum Coke </t>
  </si>
  <si>
    <t>Special Naphthas</t>
  </si>
  <si>
    <t>Misc Petroleum Products</t>
  </si>
  <si>
    <t>Notes:</t>
  </si>
  <si>
    <t>Table 3-24: Adjusted Consumption of Fossil Fuels for Non-Energy Uses (TBtu)</t>
  </si>
  <si>
    <t>Appendix to National GHGI (Table A-4: 2023 Energy Consumption Data by Fuel Type (TBtu) and Adjusted Energy Consumption Data )</t>
  </si>
  <si>
    <t>QC source: Data from SIT tool and corresponds with 1990-2022 GHGI (National estimates).</t>
  </si>
  <si>
    <t>To estimate NEU quantity of fuel for NM for 2023:Apply the national level %NEU (by fuel type) to NM to calculate NEU quantity by fuel type for 2023.</t>
  </si>
  <si>
    <t>1) Develop %NEU, by fuel type, at the national level using 2023 data from the 1990-2023 GHGI (See Columns B-D in above table).</t>
  </si>
  <si>
    <t>2) Apply these ratios to NMs fuel quantity to calculate NEU quantity, by fuel type.</t>
  </si>
  <si>
    <t>Data_Status</t>
  </si>
  <si>
    <t>MSN</t>
  </si>
  <si>
    <t>StateCode</t>
  </si>
  <si>
    <t>Data</t>
  </si>
  <si>
    <t>MSN DESC</t>
  </si>
  <si>
    <t>UNITS</t>
  </si>
  <si>
    <t>Fuel_Type</t>
  </si>
  <si>
    <t>Fuel_SubType</t>
  </si>
  <si>
    <t>DataType</t>
  </si>
  <si>
    <t>2023F</t>
  </si>
  <si>
    <t>ARICB</t>
  </si>
  <si>
    <t>2023</t>
  </si>
  <si>
    <t>Asphalt and road oil consumed by the industrial sector</t>
  </si>
  <si>
    <t>Billion Btu</t>
  </si>
  <si>
    <t>Energy</t>
  </si>
  <si>
    <t>ARICP</t>
  </si>
  <si>
    <t>Thousand barrels</t>
  </si>
  <si>
    <t>Physical</t>
  </si>
  <si>
    <t>CLICB</t>
  </si>
  <si>
    <t>Coal consumed by the industrial sector</t>
  </si>
  <si>
    <t>CLICP</t>
  </si>
  <si>
    <t>Thousand short tons</t>
  </si>
  <si>
    <t>CLISB</t>
  </si>
  <si>
    <t>Coal consumed by the industrial sector excluding refinery fuel</t>
  </si>
  <si>
    <t>Informational</t>
  </si>
  <si>
    <t>CLOCB</t>
  </si>
  <si>
    <t>Coal consumed by industrial users other than coke plants</t>
  </si>
  <si>
    <t>CLOCK</t>
  </si>
  <si>
    <t>Factor for converting coal consumed by industrial users other than coke plants from physical units to Btu</t>
  </si>
  <si>
    <t>Million Btu per short ton</t>
  </si>
  <si>
    <t>CLOCP</t>
  </si>
  <si>
    <t>CLOSB</t>
  </si>
  <si>
    <t>Coal consumed by the industrial sector other than coke plants excluding refinery fuel</t>
  </si>
  <si>
    <t>COPRK</t>
  </si>
  <si>
    <t>Factor for converting crude oil production from physical units to Btu for the United States</t>
  </si>
  <si>
    <t>Million Btu per barrel</t>
  </si>
  <si>
    <t>DAICB</t>
  </si>
  <si>
    <t>Distillate fuel oil, biodiesel, and renewable diesel consumed by the industrial sector</t>
  </si>
  <si>
    <t>DAICP</t>
  </si>
  <si>
    <t>DFICB</t>
  </si>
  <si>
    <t>Distillate fuel oil consumed by the industrial sector</t>
  </si>
  <si>
    <t>DFICP</t>
  </si>
  <si>
    <t>DFISB</t>
  </si>
  <si>
    <t>Distillate fuel oil consumed by the industrial sector excluding refinery fuel</t>
  </si>
  <si>
    <t>DMICB</t>
  </si>
  <si>
    <t>Distillate fuel oil, excluding biofuels, consumed by the industrial sector</t>
  </si>
  <si>
    <t>DMICP</t>
  </si>
  <si>
    <t>EMICB</t>
  </si>
  <si>
    <t xml:space="preserve">Fuel ethanol, excluding denaturant, consumed by the industrial sector </t>
  </si>
  <si>
    <t>ENICP</t>
  </si>
  <si>
    <t>Fuel ethanol, including denaturant, consumed by the industrial sector</t>
  </si>
  <si>
    <t>ESICB</t>
  </si>
  <si>
    <t>Electricity consumed by (sales to ultimate customers in) the industrial sector</t>
  </si>
  <si>
    <t>ESICP</t>
  </si>
  <si>
    <t>ESISB</t>
  </si>
  <si>
    <t>Electricity sales to the industrial sector excluding refinery use</t>
  </si>
  <si>
    <t>GEICB</t>
  </si>
  <si>
    <t>Geothermal energy consumed by the industrial sector</t>
  </si>
  <si>
    <t>Geothermal</t>
  </si>
  <si>
    <t>HLICB</t>
  </si>
  <si>
    <t>Hydrocarbon gas liquids consumed by the industrial sector</t>
  </si>
  <si>
    <t>HLICK</t>
  </si>
  <si>
    <t>Average factor for converting hydrocarbon gas liquids consumed by the industrial sector from physical unit to Btu</t>
  </si>
  <si>
    <t>HLICP</t>
  </si>
  <si>
    <t>HLISB</t>
  </si>
  <si>
    <t>Hydrocarbon gas liquids consumed by the industrial sector adjusted for processed fuel</t>
  </si>
  <si>
    <t>KSICB</t>
  </si>
  <si>
    <t>Kerosene consumed by the industrial sector</t>
  </si>
  <si>
    <t>LOICB</t>
  </si>
  <si>
    <t>The industrial sector's share of electrical system energy losses</t>
  </si>
  <si>
    <t>LUICB</t>
  </si>
  <si>
    <t>Lubricants consumed by the industrial sector</t>
  </si>
  <si>
    <t>LUICP</t>
  </si>
  <si>
    <t>MGICB</t>
  </si>
  <si>
    <t>Motor gasoline consumed by the industrial sector</t>
  </si>
  <si>
    <t>MGICP</t>
  </si>
  <si>
    <t>MMICB</t>
  </si>
  <si>
    <t>Motor gasoline, excluding fuel ethanol, consumed by the industrial sector</t>
  </si>
  <si>
    <t>MSICB</t>
  </si>
  <si>
    <t>Miscellaneous petroleum products consumed by the industrial sector</t>
  </si>
  <si>
    <t>MSICP</t>
  </si>
  <si>
    <t>NGICB</t>
  </si>
  <si>
    <t>Natural gas consumed by the industrial sector (including supplemental gaseous fuels)</t>
  </si>
  <si>
    <t>NGICP</t>
  </si>
  <si>
    <t>Million cubic feet</t>
  </si>
  <si>
    <t>NGISB</t>
  </si>
  <si>
    <t>Natural gas consumed by the industrial sector excluding refinery fuel</t>
  </si>
  <si>
    <t>NGLPB</t>
  </si>
  <si>
    <t>Natural gas consumed as lease and plant fuel</t>
  </si>
  <si>
    <t>NGRFB</t>
  </si>
  <si>
    <t>Natural gas consumed as refinery fuel</t>
  </si>
  <si>
    <t>OPICB</t>
  </si>
  <si>
    <t>Other petroleum products consumed by the industrial sector</t>
  </si>
  <si>
    <t>OPICP</t>
  </si>
  <si>
    <t>OPISB</t>
  </si>
  <si>
    <t>Other petroleum products consumed by the industrial sector excluding refinery fuel and intermediate products</t>
  </si>
  <si>
    <t>P1ICB</t>
  </si>
  <si>
    <t>Asphalt and road oil, kerosene, lubricants, petroleum coke, and "other petroleum products" consumed by the industrial sector</t>
  </si>
  <si>
    <t>P1ICP</t>
  </si>
  <si>
    <t>P1ISB</t>
  </si>
  <si>
    <t>Asphalt and road oil, kerosene, lubricants, petroleum coke, and "other petroleum products" consumed by the industrial sector excluding refinery fuel and intermediate products</t>
  </si>
  <si>
    <t>P5RFB</t>
  </si>
  <si>
    <t>Other petroleum products consumed as refinery fuel and intermediate products</t>
  </si>
  <si>
    <t>PAICB</t>
  </si>
  <si>
    <t>All petroleum products consumed by the industrial sector</t>
  </si>
  <si>
    <t>All Petroleum Products</t>
  </si>
  <si>
    <t>PAICP</t>
  </si>
  <si>
    <t>PAISB</t>
  </si>
  <si>
    <t>All petroleum products consumed by the industrial sector excluding process fuel and intermediate products</t>
  </si>
  <si>
    <t>PCICB</t>
  </si>
  <si>
    <t>Petroleum coke consumed in the industrial sector</t>
  </si>
  <si>
    <t>PCICP</t>
  </si>
  <si>
    <t>PCRFB</t>
  </si>
  <si>
    <t>Petroleum coke consumed as refinery fuel</t>
  </si>
  <si>
    <t>PEISB</t>
  </si>
  <si>
    <t>Primary energy consumed by the industrial sector, adjusted for process fuel, intermediate products, and fuels with no direct cost</t>
  </si>
  <si>
    <t>PMICB</t>
  </si>
  <si>
    <t>All petroleum products, excluding biofuels, consumed by the industrial sector</t>
  </si>
  <si>
    <t>PQICB</t>
  </si>
  <si>
    <t>Propane consumed by the industrial sector</t>
  </si>
  <si>
    <t>PQICP</t>
  </si>
  <si>
    <t>PQISB</t>
  </si>
  <si>
    <t>Propane consumed in the industrial sector excluding refinery fuel</t>
  </si>
  <si>
    <t>PQRFB</t>
  </si>
  <si>
    <t>Propane consumed as refinery fuel</t>
  </si>
  <si>
    <t>REICB</t>
  </si>
  <si>
    <t>Renewable energy sources consumed by the industrial sector</t>
  </si>
  <si>
    <t>Renewable Energy</t>
  </si>
  <si>
    <t>SGICB</t>
  </si>
  <si>
    <t>Still gas consumed by the industrial sector</t>
  </si>
  <si>
    <t>SGICP</t>
  </si>
  <si>
    <t>SOICB</t>
  </si>
  <si>
    <t>Solar energy consumed by the industrial sector</t>
  </si>
  <si>
    <t xml:space="preserve">Solar </t>
  </si>
  <si>
    <t>SOICP</t>
  </si>
  <si>
    <t>Solar thermal and photovoltaic electricity net generation in the industrial sector</t>
  </si>
  <si>
    <t>TEICB</t>
  </si>
  <si>
    <t>Total energy consumption in the industrial sector</t>
  </si>
  <si>
    <t>TERFB</t>
  </si>
  <si>
    <t>Total energy used as refinery fuel and intermediate products</t>
  </si>
  <si>
    <t>TNICB</t>
  </si>
  <si>
    <t>End-use energy consumption in the industrial sector</t>
  </si>
  <si>
    <t>TNISB</t>
  </si>
  <si>
    <t>Total net energy consumed by the industrial sector, adjusted for process fuel, intermediate products, and fuels with no direct cost</t>
  </si>
  <si>
    <t>WDICB</t>
  </si>
  <si>
    <t>Wood energy consumed by the industrial sector</t>
  </si>
  <si>
    <t>Wood Energy</t>
  </si>
  <si>
    <t>WSICB</t>
  </si>
  <si>
    <t>Waste energy consumed by the industrial sector</t>
  </si>
  <si>
    <t>Waste Energy</t>
  </si>
  <si>
    <t>WWICB</t>
  </si>
  <si>
    <t>Wood and waste consumed in the industrial sector</t>
  </si>
  <si>
    <t>Wood And Waste</t>
  </si>
  <si>
    <t>WWISB</t>
  </si>
  <si>
    <t>Wood and waste energy consumed in the industrial sector at a cost</t>
  </si>
  <si>
    <t>WWIXB</t>
  </si>
  <si>
    <t>Wood and waste energy consumed in the industrial sector at no cost</t>
  </si>
  <si>
    <t>WXICB</t>
  </si>
  <si>
    <t>Waxes consumed by the industrial sector</t>
  </si>
  <si>
    <t>WXICP</t>
  </si>
  <si>
    <t>Consolidated data file (in long format with over 2.3 million records)</t>
  </si>
  <si>
    <t>Consumption, price, expenditure, production, indicators, and CO2 emissions estimates</t>
  </si>
  <si>
    <t>https://www.eia.gov/state/seds/seds-data-complete.php?sid=NM#CompleteDataFile</t>
  </si>
  <si>
    <t>Starting Point - Complete NM SEDS data</t>
  </si>
  <si>
    <t>Filters:</t>
  </si>
  <si>
    <t>1) Excluded records related to cost/price/expenditures</t>
  </si>
  <si>
    <t>2) Excluded records related to residential, commercial, transportation, and total (all sectors) consumption</t>
  </si>
  <si>
    <t>3) Excluded industrial records with zero values for fuel data</t>
  </si>
  <si>
    <t>Industry: Industrial Processes and Product Use</t>
  </si>
  <si>
    <t>Category</t>
  </si>
  <si>
    <t>ghg_category</t>
  </si>
  <si>
    <t>NM_2022_MMT_CO2E</t>
  </si>
  <si>
    <t>US_2022_MMT CO2E</t>
  </si>
  <si>
    <t>NM/US 2022</t>
  </si>
  <si>
    <t>US_2023_MMT CO2E</t>
  </si>
  <si>
    <t>NM_2023_MMT CO2E</t>
  </si>
  <si>
    <t>Carbide Production and Consumption</t>
  </si>
  <si>
    <t>Methodology:</t>
  </si>
  <si>
    <t>Carbon Dioxide Consumption</t>
  </si>
  <si>
    <t>1) Using the 1990-2022 GHGI, calculate ratio of NM to US emissions.</t>
  </si>
  <si>
    <t>Cement Production</t>
  </si>
  <si>
    <t>2) Apply the 2022 NM/US ratio to 2023 US totals to calculate NM 2023 GHG emissions.</t>
  </si>
  <si>
    <t>Electrical Equipment</t>
  </si>
  <si>
    <t>SF6</t>
  </si>
  <si>
    <t>US_2023_MMT CO2E data obtained from the 1990-2023 US GHGI published by EDF. Table 4-1:  Emissions from Industrial Processes and Product Use (MMT CO2 Eq.)</t>
  </si>
  <si>
    <t>N2O from Product Uses</t>
  </si>
  <si>
    <t>Other Process Uses of Carbonates</t>
  </si>
  <si>
    <t>Photovoltaics</t>
  </si>
  <si>
    <t>HFC</t>
  </si>
  <si>
    <t>PFC</t>
  </si>
  <si>
    <t>Semiconductor Manufacture</t>
  </si>
  <si>
    <t>NF3</t>
  </si>
  <si>
    <t>SF6 and PFCs from other product use</t>
  </si>
  <si>
    <t>Substitution of Ozone Depleting Substances</t>
  </si>
  <si>
    <t>Other HFCs</t>
  </si>
  <si>
    <t>Other PFCs</t>
  </si>
  <si>
    <t>Urea Consumption for Non-Agricultural Uses</t>
  </si>
  <si>
    <t>Total for IPPU, NM, 2023</t>
  </si>
  <si>
    <t>1990-2022_StateGHGI_NM (Based on the 1990-2022 US GHGI):</t>
  </si>
  <si>
    <t>category</t>
  </si>
  <si>
    <t>ghg</t>
  </si>
  <si>
    <t>US_2022_KT gas</t>
  </si>
  <si>
    <t>Source:1990-2022 US GHGI and state GHGI</t>
  </si>
  <si>
    <t>Carbon Dioxide</t>
  </si>
  <si>
    <t>Sulfur hexafluoride</t>
  </si>
  <si>
    <t>HFC-23</t>
  </si>
  <si>
    <t xml:space="preserve"> use 2022NM data as proxy for 2023</t>
  </si>
  <si>
    <t xml:space="preserve">In 2022, reported emissions for semiconductors and photovoltaics under the "eletronics industry". </t>
  </si>
  <si>
    <t>Nitrous Oxide</t>
  </si>
  <si>
    <t>Emissons for photovoltaics were exactly the same in 2020, 2021, and 2022 for NM.</t>
  </si>
  <si>
    <t>Perfluorocyclobutane</t>
  </si>
  <si>
    <t>Using 2022 emissions for photovoltaics as proxy for 2023.</t>
  </si>
  <si>
    <t>PFC-116 (Perfluoroethane)</t>
  </si>
  <si>
    <t>PFC-14 (Perfluoromethane)</t>
  </si>
  <si>
    <t>HFC-32</t>
  </si>
  <si>
    <t>HFC-41</t>
  </si>
  <si>
    <t>Nitrogen trifluoride</t>
  </si>
  <si>
    <t>Perfluorobuta-1,3-diene</t>
  </si>
  <si>
    <t>PERFLUORO COMPDS</t>
  </si>
  <si>
    <t>PFCs = 0.2 MMT CO2E</t>
  </si>
  <si>
    <t>PERFLUORO COMPOUNDS, C5-18</t>
  </si>
  <si>
    <t>PFC-218 (Perfluoropropane)</t>
  </si>
  <si>
    <t>PFC-3-1-10 (Perfluorobutane)</t>
  </si>
  <si>
    <t>PFC-4-1-12 (Perfluoropentane)</t>
  </si>
  <si>
    <t>PFC-5-1-14 (Perfluorohexane, FC 72)</t>
  </si>
  <si>
    <t>PFC-6-1-12 (Perfluoroheptane)</t>
  </si>
  <si>
    <t>PFC-7-1-18</t>
  </si>
  <si>
    <t>PFC-9-1-18</t>
  </si>
  <si>
    <t>0.6 MMT CO2E</t>
  </si>
  <si>
    <t>HFC-125</t>
  </si>
  <si>
    <t>HFC-134a</t>
  </si>
  <si>
    <t>HFC-143a</t>
  </si>
  <si>
    <t>HFC-236fa</t>
  </si>
  <si>
    <t>Other HFC</t>
  </si>
  <si>
    <t>Mixture of gases, use 2022 NM as proxy</t>
  </si>
  <si>
    <t>Other PFC</t>
  </si>
  <si>
    <t>Grand Total, NM, MMT CO2E</t>
  </si>
  <si>
    <t>gwp</t>
  </si>
  <si>
    <t>Methane</t>
  </si>
  <si>
    <t>1,1,1,3,3,3-HEXAFLUOROPROPANE</t>
  </si>
  <si>
    <t>1H,10H-Perfluorodecane</t>
  </si>
  <si>
    <t>1H,4H-Perfluorobutane</t>
  </si>
  <si>
    <t>1H,6H-Perfluorohexane</t>
  </si>
  <si>
    <t>1H,8H-Perfluorooctane</t>
  </si>
  <si>
    <t>1H-perfluorooctane</t>
  </si>
  <si>
    <t>2-Pentene, 1,1,1,2,3,4,5,5,5-nonafluoro-4-(trifluoromethyl)-</t>
  </si>
  <si>
    <t>HFC-1132a; VF2</t>
  </si>
  <si>
    <t>HFC-1141; VF</t>
  </si>
  <si>
    <t>HFC-1234ze(E)</t>
  </si>
  <si>
    <t>HFC-134</t>
  </si>
  <si>
    <t>HFC-152a</t>
  </si>
  <si>
    <t>HFC-161</t>
  </si>
  <si>
    <t>HFC-227ca</t>
  </si>
  <si>
    <t>HFC-227ea</t>
  </si>
  <si>
    <t>HFC-236ea</t>
  </si>
  <si>
    <t>HFC-245cb</t>
  </si>
  <si>
    <t>HFC-245fa</t>
  </si>
  <si>
    <t>HFC-365mfc</t>
  </si>
  <si>
    <t>HFC-43-10mee</t>
  </si>
  <si>
    <t>Trifluoroethylene</t>
  </si>
  <si>
    <t>Unspecified mix of HFCs</t>
  </si>
  <si>
    <t>[PERFLUORO COMPOUNDS, C5-18]</t>
  </si>
  <si>
    <t>[PERFLUORO COMPOUNDS, C5-18] - CAS 86508-42-1</t>
  </si>
  <si>
    <t>butane, octafluoro-2,3-bis(trifluoromethyl)-</t>
  </si>
  <si>
    <t>C7F14</t>
  </si>
  <si>
    <t>Hexafluorobenzene</t>
  </si>
  <si>
    <t>HFP Trimer</t>
  </si>
  <si>
    <t>Perfluoro(methylcyclopropane)</t>
  </si>
  <si>
    <t>Perfluorocyclohexane</t>
  </si>
  <si>
    <t>PFC c-1418 (Octafluorocyclopentene)</t>
  </si>
  <si>
    <t>PFC-1114; TFE</t>
  </si>
  <si>
    <t>PFC-1216; Dyneon HFP</t>
  </si>
  <si>
    <t>Propene, Hexafluoro, Dimer</t>
  </si>
  <si>
    <t>Unspecified mix of PFCs</t>
  </si>
  <si>
    <t>Industry: Coal Mining and Abandoned Mines</t>
  </si>
  <si>
    <t>Coal Mine Emissions Summary for NM, 2023:</t>
  </si>
  <si>
    <t>CO2E (MMT)</t>
  </si>
  <si>
    <t>CMM</t>
  </si>
  <si>
    <t>AMM</t>
  </si>
  <si>
    <t>Total for NM, 2023</t>
  </si>
  <si>
    <t>CMM Emissions (Active coal mines - Underground (UG) + Surface):</t>
  </si>
  <si>
    <t>MSHA data indicates, no active underground coal mines in NM for 2023 (MSHA Mines Dataset, Data Retrieved August 4, 2025. Internet address: https://www.msha.gov/data-and-reports/mine-data-retrieval-system)</t>
  </si>
  <si>
    <t>Underground coal mine emissions = 0</t>
  </si>
  <si>
    <t>Surface coal mining and post-mining emissions are estimated using EIA's annual coal production data for NM and default emission factors from the US GHGI</t>
  </si>
  <si>
    <t>EIA's Annual Coal Production :</t>
  </si>
  <si>
    <t>Underground production</t>
  </si>
  <si>
    <t>Short Tons</t>
  </si>
  <si>
    <t>Surface production</t>
  </si>
  <si>
    <t>Source: (EIA, 2024) Annual Coal Report 2023. Table 2. October 30, 2024. Internet address: https://www.eia.gov/coal/annual/pdf/acr.pdf</t>
  </si>
  <si>
    <t>CH4 Emission Factors:</t>
  </si>
  <si>
    <t>Surface Mining</t>
  </si>
  <si>
    <t>Post Mining - Surface</t>
  </si>
  <si>
    <t>Basin</t>
  </si>
  <si>
    <t>Basin ID</t>
  </si>
  <si>
    <t>CH4 EF (scf/short ton)</t>
  </si>
  <si>
    <t>S.West/Rockies (NM, AZ, CA)</t>
  </si>
  <si>
    <t>WTB1</t>
  </si>
  <si>
    <t>Source: 2025GHGI (1990-2023) Annex Table A-98</t>
  </si>
  <si>
    <t>CO2 Emission Factors:</t>
  </si>
  <si>
    <t>Surface Mining, CO2</t>
  </si>
  <si>
    <t>Cubic meters/metric ton coal</t>
  </si>
  <si>
    <t>IPCC 2019</t>
  </si>
  <si>
    <t>CO2 Conversion Factor (vol to mass)</t>
  </si>
  <si>
    <t>Gg/cubic meter</t>
  </si>
  <si>
    <t>Surface Mining, CO2 EF</t>
  </si>
  <si>
    <t>metric ton CO2/metric ton coal</t>
  </si>
  <si>
    <t>CMM Emissions:</t>
  </si>
  <si>
    <t>Underground Mining</t>
  </si>
  <si>
    <t>Post-Mining Activities</t>
  </si>
  <si>
    <t>NE</t>
  </si>
  <si>
    <t>NE - Not Estimated. CO2 EFs not available for post-mining activities</t>
  </si>
  <si>
    <t>Total from CMM, 2023, NM</t>
  </si>
  <si>
    <t>Conversion Factors:</t>
  </si>
  <si>
    <t>Methane from MMCF to Gg</t>
  </si>
  <si>
    <t>scf / metric ton CH4</t>
  </si>
  <si>
    <t>Short tons to metric tons</t>
  </si>
  <si>
    <t>metric tons/short ton</t>
  </si>
  <si>
    <t>GWP, CH4</t>
  </si>
  <si>
    <t>AMM CH4 Emissions (abandoned coal mines):</t>
  </si>
  <si>
    <t>NM Emissions from 1990-2022 state GHGI</t>
  </si>
  <si>
    <t>NM, CH4, 2022</t>
  </si>
  <si>
    <t>kilotons</t>
  </si>
  <si>
    <t>National total, 2022</t>
  </si>
  <si>
    <t>National, 2023</t>
  </si>
  <si>
    <t>NM, CH4, 2023</t>
  </si>
  <si>
    <t>Applying the proportion of 2022 NM emissions (i.e., NM/National) to 2023 National emissions to estimate 2023 NM emissions.</t>
  </si>
  <si>
    <t>Liberated AMM CH4 emissions:</t>
  </si>
  <si>
    <t>Kilotons</t>
  </si>
  <si>
    <t>Recovered CH4 from AMM:</t>
  </si>
  <si>
    <t>No AMM recovery projects in NM (1990-2022 state GHGI)</t>
  </si>
  <si>
    <t>Total CH4 from AMM, 2023, NM</t>
  </si>
  <si>
    <t>Metric Tons</t>
  </si>
  <si>
    <t>Total CO2E from AMM, 2023, NM</t>
  </si>
  <si>
    <t>MMT CO2E</t>
  </si>
  <si>
    <t>Transportation</t>
  </si>
  <si>
    <t>2023 New Mexico Transportation Sector Greenhouse Gas Emissions</t>
  </si>
  <si>
    <t>2023 New Mexico Transportation Sector Greenhouse Gas Emissions (MMT CO2e), by Transportation Mode and Vehicle Type</t>
  </si>
  <si>
    <t>On-Road Vehicle Type</t>
  </si>
  <si>
    <r>
      <t>CO</t>
    </r>
    <r>
      <rPr>
        <sz val="8"/>
        <color theme="1"/>
        <rFont val="Aptos Narrow"/>
        <family val="2"/>
        <scheme val="minor"/>
      </rPr>
      <t>2</t>
    </r>
  </si>
  <si>
    <r>
      <t>CH</t>
    </r>
    <r>
      <rPr>
        <sz val="8"/>
        <color theme="1"/>
        <rFont val="Aptos Narrow"/>
        <family val="2"/>
        <scheme val="minor"/>
      </rPr>
      <t>4</t>
    </r>
  </si>
  <si>
    <r>
      <t>N</t>
    </r>
    <r>
      <rPr>
        <sz val="8"/>
        <color theme="1"/>
        <rFont val="Aptos Narrow"/>
        <family val="2"/>
        <scheme val="minor"/>
      </rPr>
      <t>2</t>
    </r>
    <r>
      <rPr>
        <sz val="11"/>
        <color theme="1"/>
        <rFont val="Aptos Narrow"/>
        <family val="2"/>
        <scheme val="minor"/>
      </rPr>
      <t>O</t>
    </r>
  </si>
  <si>
    <r>
      <t>NEW MEXICO
 TOTAL GHGs (MMT CO</t>
    </r>
    <r>
      <rPr>
        <sz val="8"/>
        <color theme="1"/>
        <rFont val="Aptos Narrow"/>
        <family val="2"/>
        <scheme val="minor"/>
      </rPr>
      <t>2</t>
    </r>
    <r>
      <rPr>
        <sz val="11"/>
        <color theme="1"/>
        <rFont val="Aptos Narrow"/>
        <family val="2"/>
        <scheme val="minor"/>
      </rPr>
      <t>e)</t>
    </r>
  </si>
  <si>
    <r>
      <rPr>
        <sz val="11"/>
        <color rgb="FF000000"/>
        <rFont val="Aptos Narrow"/>
        <family val="2"/>
        <scheme val="minor"/>
      </rPr>
      <t>U.S.
 TOTAL GHGs (MMT CO</t>
    </r>
    <r>
      <rPr>
        <sz val="8"/>
        <color rgb="FF000000"/>
        <rFont val="Aptos Narrow"/>
        <family val="2"/>
        <scheme val="minor"/>
      </rPr>
      <t>2</t>
    </r>
    <r>
      <rPr>
        <sz val="11"/>
        <color rgb="FF000000"/>
        <rFont val="Aptos Narrow"/>
        <family val="2"/>
        <scheme val="minor"/>
      </rPr>
      <t>)</t>
    </r>
  </si>
  <si>
    <t>Passenger Cars</t>
  </si>
  <si>
    <t>Light-Duty Trucks</t>
  </si>
  <si>
    <t>MHD Trucks</t>
  </si>
  <si>
    <t>Buses</t>
  </si>
  <si>
    <t>Motorcycles</t>
  </si>
  <si>
    <t>Aircrafts</t>
  </si>
  <si>
    <t>x</t>
  </si>
  <si>
    <t>Ships and Boats (Commercial Marine)</t>
  </si>
  <si>
    <t>Rail</t>
  </si>
  <si>
    <t>Non-road vehicles and equipment TOTAL</t>
  </si>
  <si>
    <t>Agriculture</t>
  </si>
  <si>
    <t>Airport Support</t>
  </si>
  <si>
    <t>Construction</t>
  </si>
  <si>
    <t>Industrial</t>
  </si>
  <si>
    <t>Lawn/Garden</t>
  </si>
  <si>
    <t>Logging</t>
  </si>
  <si>
    <t>Oil Field</t>
  </si>
  <si>
    <t>Pleasure Craft</t>
  </si>
  <si>
    <t>Railroad Support</t>
  </si>
  <si>
    <t>Recreational</t>
  </si>
  <si>
    <t>Total</t>
  </si>
  <si>
    <t>Supporting Calculations and Inputs</t>
  </si>
  <si>
    <r>
      <t>2023 New Mexico Transportation Sector Fuel Consumption to Greenhouse Gas Emissions (MMT CO</t>
    </r>
    <r>
      <rPr>
        <b/>
        <sz val="8"/>
        <color rgb="FF242424"/>
        <rFont val="Aptos Narrow"/>
        <family val="2"/>
      </rPr>
      <t>2</t>
    </r>
    <r>
      <rPr>
        <b/>
        <sz val="11"/>
        <color rgb="FF242424"/>
        <rFont val="Aptos Narrow"/>
        <family val="2"/>
      </rPr>
      <t>e), by Fuel Type</t>
    </r>
  </si>
  <si>
    <t>Aviation Gasoline</t>
  </si>
  <si>
    <t>Distillate Fuel oil</t>
  </si>
  <si>
    <t>Jet Fuel</t>
  </si>
  <si>
    <r>
      <t>Total [MMT CO</t>
    </r>
    <r>
      <rPr>
        <sz val="8"/>
        <color theme="1"/>
        <rFont val="Aptos Narrow"/>
        <family val="2"/>
        <scheme val="minor"/>
      </rPr>
      <t>2</t>
    </r>
    <r>
      <rPr>
        <sz val="11"/>
        <color theme="1"/>
        <rFont val="Aptos Narrow"/>
        <family val="2"/>
        <scheme val="minor"/>
      </rPr>
      <t>]</t>
    </r>
  </si>
  <si>
    <t>New Mexico Fuel Consumption
(thousand barrels; natural gas in billion cubic ft)</t>
  </si>
  <si>
    <t>N/A</t>
  </si>
  <si>
    <r>
      <t>New Mexico CO</t>
    </r>
    <r>
      <rPr>
        <sz val="8"/>
        <color rgb="FF000000"/>
        <rFont val="Aptos Narrow"/>
        <family val="2"/>
        <scheme val="minor"/>
      </rPr>
      <t>2</t>
    </r>
    <r>
      <rPr>
        <sz val="11"/>
        <color rgb="FF000000"/>
        <rFont val="Aptos Narrow"/>
        <family val="2"/>
        <scheme val="minor"/>
      </rPr>
      <t xml:space="preserve"> Conversion*
(MMT CO</t>
    </r>
    <r>
      <rPr>
        <sz val="8"/>
        <color rgb="FF000000"/>
        <rFont val="Aptos Narrow"/>
        <family val="2"/>
        <scheme val="minor"/>
      </rPr>
      <t>2</t>
    </r>
    <r>
      <rPr>
        <sz val="11"/>
        <color rgb="FF000000"/>
        <rFont val="Aptos Narrow"/>
        <family val="2"/>
        <scheme val="minor"/>
      </rPr>
      <t>)</t>
    </r>
  </si>
  <si>
    <t>US Fuel Consumption 
(thousand barrels; natural gas in billion cubic ft)</t>
  </si>
  <si>
    <r>
      <t>US CO</t>
    </r>
    <r>
      <rPr>
        <sz val="8"/>
        <color rgb="FF000000"/>
        <rFont val="Aptos Narrow"/>
        <family val="2"/>
        <scheme val="minor"/>
      </rPr>
      <t>2</t>
    </r>
    <r>
      <rPr>
        <sz val="11"/>
        <color rgb="FF000000"/>
        <rFont val="Aptos Narrow"/>
        <family val="2"/>
        <scheme val="minor"/>
      </rPr>
      <t xml:space="preserve"> Conversion* 
(MMT CO</t>
    </r>
    <r>
      <rPr>
        <sz val="8"/>
        <color rgb="FF000000"/>
        <rFont val="Aptos Narrow"/>
        <family val="2"/>
        <scheme val="minor"/>
      </rPr>
      <t>2</t>
    </r>
    <r>
      <rPr>
        <sz val="11"/>
        <color rgb="FF000000"/>
        <rFont val="Aptos Narrow"/>
        <family val="2"/>
        <scheme val="minor"/>
      </rPr>
      <t>)</t>
    </r>
  </si>
  <si>
    <t xml:space="preserve">Source: U.S. EIA State Energy Data System (SEDS): 1960-2023 (complete). Released: June 27, 2025. New Mexico State Profile and Energy Estimates. 'All consumption estimates' (https://www.eia.gov/state/seds/seds-data-complete.php?sid=NM). </t>
  </si>
  <si>
    <t xml:space="preserve">Notes: CO2 conversion coefficients are based on U.S. EIA CO2 emission coefficients (https://www.eia.gov/environment/emissions/co2_vol_mass.php); conversation coefficients for gasoline and distillate fuel oil account for blends. SEDS distallate data for industrial and transportation end-use sectors includes military use, all on-road, and non-road use. SEDS motor gasoline data for the industrial sector does not include highway use, public non-highway, recreational, boating, lawn and garden, and misc. </t>
  </si>
  <si>
    <t>New Mexico</t>
  </si>
  <si>
    <t>U.S.</t>
  </si>
  <si>
    <r>
      <t>New Mexico CO</t>
    </r>
    <r>
      <rPr>
        <sz val="8"/>
        <color theme="1"/>
        <rFont val="Aptos Narrow"/>
        <family val="2"/>
        <scheme val="minor"/>
      </rPr>
      <t>2</t>
    </r>
    <r>
      <rPr>
        <sz val="11"/>
        <color theme="1"/>
        <rFont val="Aptos Narrow"/>
        <family val="2"/>
        <scheme val="minor"/>
      </rPr>
      <t xml:space="preserve"> Allocation Factor</t>
    </r>
  </si>
  <si>
    <t>Medium- and Heavy-Duty Trucks</t>
  </si>
  <si>
    <r>
      <t>On-Road Transportation Total (MMT CO</t>
    </r>
    <r>
      <rPr>
        <sz val="8"/>
        <color theme="1"/>
        <rFont val="Aptos Narrow"/>
        <family val="2"/>
        <scheme val="minor"/>
      </rPr>
      <t>2</t>
    </r>
    <r>
      <rPr>
        <sz val="11"/>
        <color theme="1"/>
        <rFont val="Aptos Narrow"/>
        <family val="2"/>
        <scheme val="minor"/>
      </rPr>
      <t>):</t>
    </r>
  </si>
  <si>
    <t>Note: New Mexico allocation factors calculated above are used to apportion nationwide on-road vehicle GHG emissions to New Mexico, by vehicle type.</t>
  </si>
  <si>
    <t>Global Warming Potentials</t>
  </si>
  <si>
    <t>Industrial Designation or 
Common Name </t>
  </si>
  <si>
    <t>Chemical Formula </t>
  </si>
  <si>
    <t>100-Year GWP</t>
  </si>
  <si>
    <t>Carbon dioxide</t>
  </si>
  <si>
    <r>
      <t>CO</t>
    </r>
    <r>
      <rPr>
        <vertAlign val="subscript"/>
        <sz val="11"/>
        <color theme="1"/>
        <rFont val="Aptos Narrow"/>
        <family val="2"/>
        <scheme val="minor"/>
      </rPr>
      <t>2</t>
    </r>
  </si>
  <si>
    <r>
      <t>CH</t>
    </r>
    <r>
      <rPr>
        <vertAlign val="subscript"/>
        <sz val="11"/>
        <color theme="1"/>
        <rFont val="Aptos Narrow"/>
        <family val="2"/>
        <scheme val="minor"/>
      </rPr>
      <t>4</t>
    </r>
  </si>
  <si>
    <t>Nitrous oxide</t>
  </si>
  <si>
    <r>
      <t>N</t>
    </r>
    <r>
      <rPr>
        <vertAlign val="subscript"/>
        <sz val="11"/>
        <color theme="1"/>
        <rFont val="Aptos Narrow"/>
        <family val="2"/>
        <scheme val="minor"/>
      </rPr>
      <t>2</t>
    </r>
    <r>
      <rPr>
        <sz val="11"/>
        <color theme="1"/>
        <rFont val="Aptos Narrow"/>
        <family val="2"/>
        <scheme val="minor"/>
      </rPr>
      <t>O</t>
    </r>
  </si>
  <si>
    <t>Source: U.S. EPA 2025 GHG Emission Factors Hub. Last Modified: January 15, 2025. 'Table 11. Global Warming Potential (GWP)' (https://www.epa.gov/system/files/documents/2025-01/ghg-emission-factors-hub-2025.pdf).</t>
  </si>
  <si>
    <t>Electricity Generation</t>
  </si>
  <si>
    <t>Annual Emissions</t>
  </si>
  <si>
    <t>Excluded</t>
  </si>
  <si>
    <t>Included</t>
  </si>
  <si>
    <t>Primary Fuel</t>
  </si>
  <si>
    <r>
      <t>Fossil CO</t>
    </r>
    <r>
      <rPr>
        <vertAlign val="subscript"/>
        <sz val="11"/>
        <color theme="1"/>
        <rFont val="Aptos Narrow"/>
        <family val="2"/>
        <scheme val="minor"/>
      </rPr>
      <t>2</t>
    </r>
    <r>
      <rPr>
        <sz val="11"/>
        <color theme="1"/>
        <rFont val="Aptos Narrow"/>
        <family val="2"/>
        <scheme val="minor"/>
      </rPr>
      <t xml:space="preserve">
[MTCO</t>
    </r>
    <r>
      <rPr>
        <vertAlign val="subscript"/>
        <sz val="11"/>
        <color theme="1"/>
        <rFont val="Aptos Narrow"/>
        <family val="2"/>
        <scheme val="minor"/>
      </rPr>
      <t>2</t>
    </r>
    <r>
      <rPr>
        <sz val="11"/>
        <color theme="1"/>
        <rFont val="Aptos Narrow"/>
        <family val="2"/>
        <scheme val="minor"/>
      </rPr>
      <t>]</t>
    </r>
  </si>
  <si>
    <r>
      <t>CH</t>
    </r>
    <r>
      <rPr>
        <vertAlign val="subscript"/>
        <sz val="11"/>
        <color theme="1"/>
        <rFont val="Aptos Narrow"/>
        <family val="2"/>
        <scheme val="minor"/>
      </rPr>
      <t>4</t>
    </r>
    <r>
      <rPr>
        <sz val="11"/>
        <color theme="1"/>
        <rFont val="Aptos Narrow"/>
        <family val="2"/>
        <scheme val="minor"/>
      </rPr>
      <t xml:space="preserve">
[MTCH</t>
    </r>
    <r>
      <rPr>
        <vertAlign val="subscript"/>
        <sz val="11"/>
        <color theme="1"/>
        <rFont val="Aptos Narrow"/>
        <family val="2"/>
        <scheme val="minor"/>
      </rPr>
      <t>4</t>
    </r>
    <r>
      <rPr>
        <sz val="11"/>
        <color theme="1"/>
        <rFont val="Aptos Narrow"/>
        <family val="2"/>
        <scheme val="minor"/>
      </rPr>
      <t>]</t>
    </r>
  </si>
  <si>
    <r>
      <t>N</t>
    </r>
    <r>
      <rPr>
        <vertAlign val="subscript"/>
        <sz val="11"/>
        <color theme="1"/>
        <rFont val="Aptos Narrow"/>
        <family val="2"/>
        <scheme val="minor"/>
      </rPr>
      <t>2</t>
    </r>
    <r>
      <rPr>
        <sz val="11"/>
        <color theme="1"/>
        <rFont val="Aptos Narrow"/>
        <family val="2"/>
        <scheme val="minor"/>
      </rPr>
      <t>O
[MTN</t>
    </r>
    <r>
      <rPr>
        <vertAlign val="subscript"/>
        <sz val="11"/>
        <color theme="1"/>
        <rFont val="Aptos Narrow"/>
        <family val="2"/>
        <scheme val="minor"/>
      </rPr>
      <t>2</t>
    </r>
    <r>
      <rPr>
        <sz val="11"/>
        <color theme="1"/>
        <rFont val="Aptos Narrow"/>
        <family val="2"/>
        <scheme val="minor"/>
      </rPr>
      <t>O]</t>
    </r>
  </si>
  <si>
    <r>
      <t>CO</t>
    </r>
    <r>
      <rPr>
        <vertAlign val="subscript"/>
        <sz val="11"/>
        <color theme="1"/>
        <rFont val="Aptos Narrow"/>
        <family val="2"/>
        <scheme val="minor"/>
      </rPr>
      <t>2</t>
    </r>
    <r>
      <rPr>
        <sz val="11"/>
        <color theme="1"/>
        <rFont val="Aptos Narrow"/>
        <family val="2"/>
        <scheme val="minor"/>
      </rPr>
      <t>e
[MTCO</t>
    </r>
    <r>
      <rPr>
        <vertAlign val="subscript"/>
        <sz val="11"/>
        <color theme="1"/>
        <rFont val="Aptos Narrow"/>
        <family val="2"/>
        <scheme val="minor"/>
      </rPr>
      <t>2</t>
    </r>
    <r>
      <rPr>
        <sz val="11"/>
        <color theme="1"/>
        <rFont val="Aptos Narrow"/>
        <family val="2"/>
        <scheme val="minor"/>
      </rPr>
      <t>e]</t>
    </r>
  </si>
  <si>
    <r>
      <t>Biomass CO</t>
    </r>
    <r>
      <rPr>
        <vertAlign val="subscript"/>
        <sz val="11"/>
        <color theme="1"/>
        <rFont val="Aptos Narrow"/>
        <family val="2"/>
        <scheme val="minor"/>
      </rPr>
      <t>2</t>
    </r>
    <r>
      <rPr>
        <sz val="11"/>
        <color theme="1"/>
        <rFont val="Aptos Narrow"/>
        <family val="2"/>
        <scheme val="minor"/>
      </rPr>
      <t xml:space="preserve">
[MTCO</t>
    </r>
    <r>
      <rPr>
        <vertAlign val="subscript"/>
        <sz val="11"/>
        <color theme="1"/>
        <rFont val="Aptos Narrow"/>
        <family val="2"/>
        <scheme val="minor"/>
      </rPr>
      <t>2</t>
    </r>
    <r>
      <rPr>
        <sz val="11"/>
        <color theme="1"/>
        <rFont val="Aptos Narrow"/>
        <family val="2"/>
        <scheme val="minor"/>
      </rPr>
      <t>(b)]</t>
    </r>
  </si>
  <si>
    <t>Biomass</t>
  </si>
  <si>
    <t>Gas</t>
  </si>
  <si>
    <t>Hydro</t>
  </si>
  <si>
    <t>Oil</t>
  </si>
  <si>
    <t>OthF</t>
  </si>
  <si>
    <t>Solar</t>
  </si>
  <si>
    <t>Wind</t>
  </si>
  <si>
    <t>Annual Net Generation</t>
  </si>
  <si>
    <t>[MWh]</t>
  </si>
  <si>
    <t>[%]</t>
  </si>
  <si>
    <t>eGRID 2023 Detailed Data</t>
  </si>
  <si>
    <t>Source: eGRID with 2023 Data</t>
  </si>
  <si>
    <t>Revision 2 Released: 6/12/2025</t>
  </si>
  <si>
    <t>https://www.epa.gov/egrid/detailed-data</t>
  </si>
  <si>
    <t>PLNT23, Plant state abbreviation = 'NM'</t>
  </si>
  <si>
    <t>DOE/EIA ORIS plant or facility code</t>
  </si>
  <si>
    <t>Plant transmission or distribution system owner name</t>
  </si>
  <si>
    <t>Plant transmission or distribution system owner ID</t>
  </si>
  <si>
    <t>Balancing Authority Name</t>
  </si>
  <si>
    <t>Balancing Authority Code</t>
  </si>
  <si>
    <t>NERC region acronym</t>
  </si>
  <si>
    <t>eGRID subregion acronym</t>
  </si>
  <si>
    <t>eGRID subregion name</t>
  </si>
  <si>
    <t>Plant associated ISO/RTO Territory</t>
  </si>
  <si>
    <t>Plant FIPS state code</t>
  </si>
  <si>
    <t>Plant FIPS county code</t>
  </si>
  <si>
    <t>Plant county name</t>
  </si>
  <si>
    <t>Plant latitude</t>
  </si>
  <si>
    <t>Plant longitude</t>
  </si>
  <si>
    <t>CAPD Program Flag</t>
  </si>
  <si>
    <t>Plant primary fuel category</t>
  </si>
  <si>
    <t>Flag indicating if the plant burned or generated any amount of coal</t>
  </si>
  <si>
    <t>Plant capacity factor</t>
  </si>
  <si>
    <t>Plant nameplate capacity (MW)</t>
  </si>
  <si>
    <t>Nonbaseload Factor</t>
  </si>
  <si>
    <t>Biogas/ biomass plant adjustment flag</t>
  </si>
  <si>
    <t>Combined heat and power (CHP) plant adjustment flag</t>
  </si>
  <si>
    <t>CHP plant useful thermal output (MMBtu)</t>
  </si>
  <si>
    <t>CHP plant power to heat ratio</t>
  </si>
  <si>
    <t>CHP plant electric allocation factor</t>
  </si>
  <si>
    <t>Plant pumped storage flag</t>
  </si>
  <si>
    <t>Plant annual heat input from combustion (MMBtu)</t>
  </si>
  <si>
    <t>Plant ozone season heat input from combustion (MMBtu)</t>
  </si>
  <si>
    <t>Plant total annual heat input (MMBtu)</t>
  </si>
  <si>
    <t>Plant total ozone season heat input (MMBtu)</t>
  </si>
  <si>
    <t>Plant annual net generation (MWh)</t>
  </si>
  <si>
    <t>Plant ozone season net generation (MWh)</t>
  </si>
  <si>
    <t>Plant annual nonbaseload generation (MWh)</t>
  </si>
  <si>
    <t>Plant annual NOx emissions (tons)</t>
  </si>
  <si>
    <t>Plant ozone season NOx emissions (tons)</t>
  </si>
  <si>
    <t>Plant annual SO2 emissions (tons)</t>
  </si>
  <si>
    <t>Plant annual CO2 equivalent emissions (tons)</t>
  </si>
  <si>
    <t>Plant annual Hg emissions (lbs)</t>
  </si>
  <si>
    <t>Plant annual NOx total output emission rate (lb/MWh)</t>
  </si>
  <si>
    <t>Plant ozone season NOx total output emission rate (lb/MWh)</t>
  </si>
  <si>
    <t>Plant annual SO2 total output emission rate (lb/MWh)</t>
  </si>
  <si>
    <t>Plant annual CO2 total output emission rate (lb/MWh)</t>
  </si>
  <si>
    <t>Plant annual CH4 total output emission rate (lb/MWh)</t>
  </si>
  <si>
    <t>Plant annual N2O total output emission rate (lb/MWh)</t>
  </si>
  <si>
    <t>Plant annual CO2 equivalent total output emission rate (lb/MWh)</t>
  </si>
  <si>
    <t>Plant annual Hg total output emission rate (lb/MWh)</t>
  </si>
  <si>
    <t>Plant annual NOx input emission rate (lb/MMBtu)</t>
  </si>
  <si>
    <t>Plant ozone season NOx input emission rate (lb/MMBtu)</t>
  </si>
  <si>
    <t>Plant annual SO2 input emission rate (lb/MMBtu)</t>
  </si>
  <si>
    <t>Plant annual CO2 input emission rate (lb/MMBtu)</t>
  </si>
  <si>
    <t>Plant annual CH4 input emission rate (lb/MMBtu)</t>
  </si>
  <si>
    <t>Plant annual N2O input emission rate (lb/MMBtu)</t>
  </si>
  <si>
    <t>Plant annual CO2 equivalent input emission rate (lb/MMBtu)</t>
  </si>
  <si>
    <t>Plant annual Hg input emission rate (lb/MMBtu)</t>
  </si>
  <si>
    <t>Plant annual NOx combustion output emission rate (lb/MWh)</t>
  </si>
  <si>
    <t>Plant ozone season NOx combustion output emission rate (lb/MWh)</t>
  </si>
  <si>
    <t>Plant annual SO2 combustion output emission rate (lb/MWh)</t>
  </si>
  <si>
    <t>Plant annual CO2 combustion output emission rate (lb/MWh)</t>
  </si>
  <si>
    <t>Plant annual CH4 combustion output emission rate (lb/MWh)</t>
  </si>
  <si>
    <t>Plant annual N2O combustion output emission rate (lb/MWh)</t>
  </si>
  <si>
    <t>Plant annual CO2 equivalent combustion output emission rate (lb/MWh)</t>
  </si>
  <si>
    <t>Plant annual Hg combustion output emission rate (lb/MWh)</t>
  </si>
  <si>
    <t>Plant unadjusted annual NOx emissions (tons)</t>
  </si>
  <si>
    <t>Plant unadjusted ozone season NOx emissions (tons)</t>
  </si>
  <si>
    <t>Plant unadjusted annual SO2 emissions (tons)</t>
  </si>
  <si>
    <t>Plant unadjusted annual CO2 emissions (tons)</t>
  </si>
  <si>
    <t>Plant unadjusted annual CH4 emissions (lbs)</t>
  </si>
  <si>
    <t>Plant unadjusted annual N2O emissions (lbs)</t>
  </si>
  <si>
    <t>Plant unadjusted annual CO2 equivalent emissions (tons)</t>
  </si>
  <si>
    <t>Plant unadjusted annual Hg emissions (lbs)</t>
  </si>
  <si>
    <t>Plant unadjusted annual heat input from combustion (MMBtu)</t>
  </si>
  <si>
    <t>Plant unadjusted ozone season heat input from combustion (MMBtu)</t>
  </si>
  <si>
    <t>Plant unadjusted total annual heat input (MMBtu)</t>
  </si>
  <si>
    <t>Plant unadjusted total ozone season heat input (MMBtu)</t>
  </si>
  <si>
    <t>Plant unadjusted annual NOx emissions source</t>
  </si>
  <si>
    <t>Plant unadjusted ozone season NOx emissions source</t>
  </si>
  <si>
    <t>Plant unadjusted annual SO2 emissions source</t>
  </si>
  <si>
    <t>Plant unadjusted annual CO2 emissions source</t>
  </si>
  <si>
    <t>Plant unadjusted annual CH4 emissions source</t>
  </si>
  <si>
    <t>Plant unadjusted annual N2O emissions source</t>
  </si>
  <si>
    <t>Plant unadjusted annual CO2 equivalent emissions source</t>
  </si>
  <si>
    <t>Plant unadjusted annual Hg emissions source</t>
  </si>
  <si>
    <t>Plant unadjusted annual heat input source</t>
  </si>
  <si>
    <t>Plant unadjusted ozone season heat input source</t>
  </si>
  <si>
    <t>Plant annual NOx biomass emissions (tons)</t>
  </si>
  <si>
    <t>Plant ozone season NOx biomass emissions (tons)</t>
  </si>
  <si>
    <t>Plant annual SO2 biomass emissions (tons)</t>
  </si>
  <si>
    <t>Plant annual CO2 biomass emissions (tons)</t>
  </si>
  <si>
    <t>Plant annual CH4 biomass emissions (lbs)</t>
  </si>
  <si>
    <t>Plant annual N2O biomass emissions (lbs)</t>
  </si>
  <si>
    <t>Plant annual CO2 equivalent biomass emissions (tons)</t>
  </si>
  <si>
    <t>Plant combustion heat input CHP adjustment value (MMBtu)</t>
  </si>
  <si>
    <t>Plant combustion annual ozone season heat input CHP adjustment value (MMBtu)</t>
  </si>
  <si>
    <t>Plant annual NOx emissions CHP adjustment value (tons)</t>
  </si>
  <si>
    <t>Plant ozone season NOx emissions CHP adjustment value (tons)</t>
  </si>
  <si>
    <t>Plant annual SO2 emissions CHP adjustment value (tons)</t>
  </si>
  <si>
    <t>Plant annual CO2 emissions CHP adjustment value (tons)</t>
  </si>
  <si>
    <t>Plant annual CH4 emissions CHP adjustment value (lbs)</t>
  </si>
  <si>
    <t>Plant annual N2O emissions CHP adjustment value (lbs)</t>
  </si>
  <si>
    <t>Plant annual CO2 equivalent emissions CHP adjustement value (tons)</t>
  </si>
  <si>
    <t>Plant nominal heat rate (Btu/kWh)</t>
  </si>
  <si>
    <t>Plant annual coal net generation (MWh)</t>
  </si>
  <si>
    <t>Plant annual oil net generation (MWh)</t>
  </si>
  <si>
    <t>Plant annual gas net generation (MWh)</t>
  </si>
  <si>
    <t>Plant annual nuclear net generation (MWh)</t>
  </si>
  <si>
    <t>Plant annual hydro net generation (MWh)</t>
  </si>
  <si>
    <t>Plant annual biomass net generation (MWh)</t>
  </si>
  <si>
    <t>Plant annual wind net generation (MWh)</t>
  </si>
  <si>
    <t>Plant annual solar net generation (MWh)</t>
  </si>
  <si>
    <t>Plant annual geothermal net generation (MWh)</t>
  </si>
  <si>
    <t>Plant annual other fossil net generation (MWh)</t>
  </si>
  <si>
    <t>Plant annual other unknown/ purchased fuel net generation (MWh)</t>
  </si>
  <si>
    <t>Plant annual total nonrenewables net generation (MWh)</t>
  </si>
  <si>
    <t>Plant annual total renewables net generation (MWh)</t>
  </si>
  <si>
    <t>Plant annual total renewables other unknown/purchased net generation (MWh)</t>
  </si>
  <si>
    <t>Plant annual total nonhydro renewables net generation (MWh)</t>
  </si>
  <si>
    <t>Plant annual total combustion net generation (MWh)</t>
  </si>
  <si>
    <t>Plant annual total noncombustion net generation (MWh)</t>
  </si>
  <si>
    <t>Plant annual total noncombustion other unknown/purchased net generation (MWh)</t>
  </si>
  <si>
    <t>Plant coal generation percent (resource mix)</t>
  </si>
  <si>
    <t>Plant oil generation percent (resource mix)</t>
  </si>
  <si>
    <t>Plant gas generation percent (resource mix)</t>
  </si>
  <si>
    <t>Plant nuclear generation percent (resource mix)</t>
  </si>
  <si>
    <t>Plant hydro generation percent (resource mix)</t>
  </si>
  <si>
    <t>Plant biomass generation percent (resource mix)</t>
  </si>
  <si>
    <t>Plant wind generation percent (resource mix)</t>
  </si>
  <si>
    <t>Plant solar generation percent (resource mix)</t>
  </si>
  <si>
    <t>Plant geothermal generation percent (resource mix)</t>
  </si>
  <si>
    <t>Plant other fossil generation percent (resource mix)</t>
  </si>
  <si>
    <t>Plant other unknown / purchased fuel generation percent (resource mix)</t>
  </si>
  <si>
    <t>Plant total nonrenewables generation percent (resource mix)</t>
  </si>
  <si>
    <t>Plant total renewables generation percent (resource mix)</t>
  </si>
  <si>
    <t>Plant total nonrenewables other unknown/purchased generation percent (resource mix)</t>
  </si>
  <si>
    <t>Plant total nonhydro renewables generation percent (resource mix)</t>
  </si>
  <si>
    <t>Plant total combustion generation percent (resource mix)</t>
  </si>
  <si>
    <t>Plant total noncombustion generation percent (resource mix)</t>
  </si>
  <si>
    <t>Plant total noncombustion other unknown/purchased generation percent (resource mix)</t>
  </si>
  <si>
    <t>Four Corners Steam Elec Station</t>
  </si>
  <si>
    <t>Arizona Public Service Co</t>
  </si>
  <si>
    <t>Electric Utility</t>
  </si>
  <si>
    <t>Arizona Public Service Company</t>
  </si>
  <si>
    <t>AZPS</t>
  </si>
  <si>
    <t>WECC</t>
  </si>
  <si>
    <t>AZNM</t>
  </si>
  <si>
    <t>WECC Southwest</t>
  </si>
  <si>
    <t>35</t>
  </si>
  <si>
    <t>045</t>
  </si>
  <si>
    <t>San Juan</t>
  </si>
  <si>
    <t>Yes</t>
  </si>
  <si>
    <t>BIT</t>
  </si>
  <si>
    <t>COAL</t>
  </si>
  <si>
    <t>EPA/CAPD</t>
  </si>
  <si>
    <t>EIA</t>
  </si>
  <si>
    <t>Calculated</t>
  </si>
  <si>
    <t>--</t>
  </si>
  <si>
    <t>Hobbs Generating Station</t>
  </si>
  <si>
    <t>Southwestern Public Service Co</t>
  </si>
  <si>
    <t>Lea Power Partners LLC</t>
  </si>
  <si>
    <t>IPP Non-CHP</t>
  </si>
  <si>
    <t>Southwest Power Pool</t>
  </si>
  <si>
    <t>SWPP</t>
  </si>
  <si>
    <t>MRO</t>
  </si>
  <si>
    <t>SPSO</t>
  </si>
  <si>
    <t>SPP South</t>
  </si>
  <si>
    <t>025</t>
  </si>
  <si>
    <t>Lea</t>
  </si>
  <si>
    <t>GAS</t>
  </si>
  <si>
    <t>Luna Energy Facility</t>
  </si>
  <si>
    <t>El Paso Electric Co</t>
  </si>
  <si>
    <t>Public Service Co of NM</t>
  </si>
  <si>
    <t>Public Service Company of New Mexico</t>
  </si>
  <si>
    <t>PNM</t>
  </si>
  <si>
    <t>029</t>
  </si>
  <si>
    <t>Luna</t>
  </si>
  <si>
    <t>Cunningham</t>
  </si>
  <si>
    <t>Afton Generating Station</t>
  </si>
  <si>
    <t>013</t>
  </si>
  <si>
    <t>Dona Ana</t>
  </si>
  <si>
    <t>Rio Grande</t>
  </si>
  <si>
    <t>El Paso Electric Company</t>
  </si>
  <si>
    <t>EPE</t>
  </si>
  <si>
    <t>Rio Bravo Generating Station</t>
  </si>
  <si>
    <t>001</t>
  </si>
  <si>
    <t>Bernalillo</t>
  </si>
  <si>
    <t>Reeves Generating Station</t>
  </si>
  <si>
    <t>Maddox</t>
  </si>
  <si>
    <t>Bluffview Power Plant</t>
  </si>
  <si>
    <t>City of Farmington - (NM)</t>
  </si>
  <si>
    <t>Western Area Power Administration - Rocky Mountain Region</t>
  </si>
  <si>
    <t>WACM</t>
  </si>
  <si>
    <t>Pyramid Generating Station</t>
  </si>
  <si>
    <t>Tri-State G &amp; T Assn, Inc</t>
  </si>
  <si>
    <t>023</t>
  </si>
  <si>
    <t>Hidalgo</t>
  </si>
  <si>
    <t>Valencia Power Plant</t>
  </si>
  <si>
    <t>Valencia Power LLC</t>
  </si>
  <si>
    <t>061</t>
  </si>
  <si>
    <t>Valencia</t>
  </si>
  <si>
    <t>Quay County</t>
  </si>
  <si>
    <t>037</t>
  </si>
  <si>
    <t>Quay</t>
  </si>
  <si>
    <t>DFO</t>
  </si>
  <si>
    <t>OIL</t>
  </si>
  <si>
    <t>Lordsburg Generating Station</t>
  </si>
  <si>
    <t>017</t>
  </si>
  <si>
    <t>Grant</t>
  </si>
  <si>
    <t>La Luz Energy Center</t>
  </si>
  <si>
    <t>LCEC Generation LLVC</t>
  </si>
  <si>
    <t>Lea County Electric Coop, Inc</t>
  </si>
  <si>
    <t>Western Farmers Elec Coop, Inc</t>
  </si>
  <si>
    <t>Ford Utilities Center</t>
  </si>
  <si>
    <t>University of New Mexico</t>
  </si>
  <si>
    <t>Commercial CHP</t>
  </si>
  <si>
    <t>New Mexico State University</t>
  </si>
  <si>
    <t>Southside Water Reclamation Plant</t>
  </si>
  <si>
    <t>Albuquerque City of</t>
  </si>
  <si>
    <t>IPP CHP</t>
  </si>
  <si>
    <t>OBG</t>
  </si>
  <si>
    <t>BIOMASS</t>
  </si>
  <si>
    <t>Freeport McMoRan</t>
  </si>
  <si>
    <t>Freeport McMoRan Inc</t>
  </si>
  <si>
    <t>Lightning Dock Geothermal HI-01, LLC</t>
  </si>
  <si>
    <t>Columbus Electric Coop, Inc</t>
  </si>
  <si>
    <t>GEO</t>
  </si>
  <si>
    <t>GEOTHERMAL</t>
  </si>
  <si>
    <t>Abiquiu Dam</t>
  </si>
  <si>
    <t>Jemez Mountains Elec Coop, Inc</t>
  </si>
  <si>
    <t>Los Alamos County</t>
  </si>
  <si>
    <t>039</t>
  </si>
  <si>
    <t>Rio Arriba</t>
  </si>
  <si>
    <t>WAT</t>
  </si>
  <si>
    <t>HYDRO</t>
  </si>
  <si>
    <t>Alamogordo Solar Energy Center</t>
  </si>
  <si>
    <t>PNM Resources</t>
  </si>
  <si>
    <t>035</t>
  </si>
  <si>
    <t>Otero</t>
  </si>
  <si>
    <t>SUN</t>
  </si>
  <si>
    <t>SOLAR</t>
  </si>
  <si>
    <t>Albuquerque Solar Energy Center</t>
  </si>
  <si>
    <t>Alcalde Solar Array</t>
  </si>
  <si>
    <t>Jemez Cuba LLC</t>
  </si>
  <si>
    <t>Algodones</t>
  </si>
  <si>
    <t>043</t>
  </si>
  <si>
    <t>Sandoval</t>
  </si>
  <si>
    <t>Alta Luna</t>
  </si>
  <si>
    <t>TPE Alta Luna, LLC</t>
  </si>
  <si>
    <t>Anderson Wind I</t>
  </si>
  <si>
    <t>Chopin Wind, LLC</t>
  </si>
  <si>
    <t>005</t>
  </si>
  <si>
    <t>Chaves</t>
  </si>
  <si>
    <t>WND</t>
  </si>
  <si>
    <t>WIND</t>
  </si>
  <si>
    <t>Anderson Wind II</t>
  </si>
  <si>
    <t>Angel Fire Energy Facility</t>
  </si>
  <si>
    <t>Kit Carson Electric Coop, Inc</t>
  </si>
  <si>
    <t>Angel Fire Energy Facility, LLC</t>
  </si>
  <si>
    <t>007</t>
  </si>
  <si>
    <t>Colfax</t>
  </si>
  <si>
    <t>Aragonne Wind LLC</t>
  </si>
  <si>
    <t>Leeward Asset Management, LLC</t>
  </si>
  <si>
    <t>019</t>
  </si>
  <si>
    <t>Guadalupe</t>
  </si>
  <si>
    <t>Arroyo Solar Energy Storage Hybrid</t>
  </si>
  <si>
    <t>Arroyo Solar LLC</t>
  </si>
  <si>
    <t>031</t>
  </si>
  <si>
    <t>McKinley</t>
  </si>
  <si>
    <t>MWH</t>
  </si>
  <si>
    <t>OTHF</t>
  </si>
  <si>
    <t>Blue Sky One</t>
  </si>
  <si>
    <t>SSA Solar of NM, LLC</t>
  </si>
  <si>
    <t>055</t>
  </si>
  <si>
    <t>Taos</t>
  </si>
  <si>
    <t>Bluewater CDEC 1</t>
  </si>
  <si>
    <t>Continental Divide El Coop Inc</t>
  </si>
  <si>
    <t>Lightsource Renewable Energy Asset Management, LLC</t>
  </si>
  <si>
    <t>006</t>
  </si>
  <si>
    <t>Cibola</t>
  </si>
  <si>
    <t>Borderlands Wind, LLC</t>
  </si>
  <si>
    <t>Tucson Electric Power Company</t>
  </si>
  <si>
    <t>TEPC</t>
  </si>
  <si>
    <t>003</t>
  </si>
  <si>
    <t>Catron</t>
  </si>
  <si>
    <t>Britton Solar Energy Center</t>
  </si>
  <si>
    <t>NMRD Data Center, LLC</t>
  </si>
  <si>
    <t>057</t>
  </si>
  <si>
    <t>Torrance</t>
  </si>
  <si>
    <t>Broadview Energy JN, LLC</t>
  </si>
  <si>
    <t>Pattern Operators LP</t>
  </si>
  <si>
    <t>Gridforce South</t>
  </si>
  <si>
    <t>GRIS</t>
  </si>
  <si>
    <t>009</t>
  </si>
  <si>
    <t>Curry</t>
  </si>
  <si>
    <t>Broadview Energy KW, LLC</t>
  </si>
  <si>
    <t>Broadview Energy Prime 2 LLC</t>
  </si>
  <si>
    <t>Farmers Electric Coop, Inc - (NM)</t>
  </si>
  <si>
    <t>Broadview Energy Prime LLC</t>
  </si>
  <si>
    <t>Buena Vista Energy Center</t>
  </si>
  <si>
    <t>Salt River Project</t>
  </si>
  <si>
    <t>Buena Vista Energy Center, LLC</t>
  </si>
  <si>
    <t>CNMEC Solar Energy Center</t>
  </si>
  <si>
    <t>New Mexico Renewable Development LLC</t>
  </si>
  <si>
    <t>Caprock Solar 1 LLC</t>
  </si>
  <si>
    <t>Duke Energy Renewables Services</t>
  </si>
  <si>
    <t>Caprock Wind Farm</t>
  </si>
  <si>
    <t>Carrizozo Solar</t>
  </si>
  <si>
    <t>SoCore Energy LLC</t>
  </si>
  <si>
    <t>027</t>
  </si>
  <si>
    <t>Lincoln</t>
  </si>
  <si>
    <t>Casa Mesa Wind Energy Center Hybrid</t>
  </si>
  <si>
    <t>Casa Mesa Wind, LLC</t>
  </si>
  <si>
    <t>Chaves County Solar II</t>
  </si>
  <si>
    <t>Chaves County Solar II, LLC</t>
  </si>
  <si>
    <t>Chaves Solar, LLC</t>
  </si>
  <si>
    <t>Chaves Solar LLC</t>
  </si>
  <si>
    <t>Cimarron Solar Facility</t>
  </si>
  <si>
    <t>Springer Electric Coop, Inc</t>
  </si>
  <si>
    <t>Southern Power Co</t>
  </si>
  <si>
    <t>City of Gallup Solar</t>
  </si>
  <si>
    <t>Standard Solar</t>
  </si>
  <si>
    <t>City of Rio Rancho WWTP</t>
  </si>
  <si>
    <t>City of Truth or Consequences PV</t>
  </si>
  <si>
    <t>Tri-County Electric Coop, Inc</t>
  </si>
  <si>
    <t>MN8 Energy LLC</t>
  </si>
  <si>
    <t>051</t>
  </si>
  <si>
    <t>Sierra</t>
  </si>
  <si>
    <t>Clines Corners Wind Farm LLC</t>
  </si>
  <si>
    <t>Columbus Solar Project</t>
  </si>
  <si>
    <t>Cuba 2.5ac, LLC</t>
  </si>
  <si>
    <t>Deming Solar Energy Center</t>
  </si>
  <si>
    <t>Duran Mesa LLC</t>
  </si>
  <si>
    <t>El Cabo Wind</t>
  </si>
  <si>
    <t>Avangrid Renewables LLC</t>
  </si>
  <si>
    <t>El Vado Dam</t>
  </si>
  <si>
    <t>Northern Rio Arriba E Coop Inc</t>
  </si>
  <si>
    <t>Elephant Butte</t>
  </si>
  <si>
    <t>WAPA-- Western Area Power Administration</t>
  </si>
  <si>
    <t>U S Bureau of Reclamation</t>
  </si>
  <si>
    <t>Encino Solar Energy Center</t>
  </si>
  <si>
    <t>Eubank Landfill Solar Array</t>
  </si>
  <si>
    <t>Suncore Photovoltaics, Inc</t>
  </si>
  <si>
    <t>Facebook 1 Solar Energy Center</t>
  </si>
  <si>
    <t>Facebook 2 Solar Energy Center</t>
  </si>
  <si>
    <t>Facebook 3 Solar Energy Center</t>
  </si>
  <si>
    <t>GSE NM1</t>
  </si>
  <si>
    <t>Altus Power America Management, LLC</t>
  </si>
  <si>
    <t>Grady Wind Energy Center, LLC</t>
  </si>
  <si>
    <t>Grants CDEC 2</t>
  </si>
  <si>
    <t>Hatch Solar Energy Center I, LLC</t>
  </si>
  <si>
    <t>Hayhurst New Mexico Solar</t>
  </si>
  <si>
    <t>015</t>
  </si>
  <si>
    <t>Eddy</t>
  </si>
  <si>
    <t>High Lonesome Mesa LLC</t>
  </si>
  <si>
    <t>High Lonesome Mesa, LLC</t>
  </si>
  <si>
    <t>Holloman Solar Facility</t>
  </si>
  <si>
    <t>Jicarilla Solar 1 LLC</t>
  </si>
  <si>
    <t>Repsol Renewables NA</t>
  </si>
  <si>
    <t>Jicarilla Solar 2</t>
  </si>
  <si>
    <t>Jicarilla Solar 2 LLC</t>
  </si>
  <si>
    <t>Kit Carson</t>
  </si>
  <si>
    <t>Terraform Arcadia</t>
  </si>
  <si>
    <t>La Joya NM</t>
  </si>
  <si>
    <t>Las Vegas Solar Energy Center</t>
  </si>
  <si>
    <t>047</t>
  </si>
  <si>
    <t>San Miguel</t>
  </si>
  <si>
    <t>Los Alamos PV Site</t>
  </si>
  <si>
    <t>028</t>
  </si>
  <si>
    <t>Los Alamos</t>
  </si>
  <si>
    <t>Los Lunas Solar Energy Center</t>
  </si>
  <si>
    <t>Macho Springs</t>
  </si>
  <si>
    <t>Macho Springs Power I</t>
  </si>
  <si>
    <t>ITC Great Plains, LLC</t>
  </si>
  <si>
    <t>Capital Power Corporation</t>
  </si>
  <si>
    <t>Manzano Solar</t>
  </si>
  <si>
    <t>Meadow Lake Solar Energy Center</t>
  </si>
  <si>
    <t>Mesalands Comm College Wind Turbine</t>
  </si>
  <si>
    <t>Mesalands Community College</t>
  </si>
  <si>
    <t>Commercial Non-CHP</t>
  </si>
  <si>
    <t>Middle Daisy</t>
  </si>
  <si>
    <t>Onyx Asset Services Group</t>
  </si>
  <si>
    <t>Milo Wind Project LLC</t>
  </si>
  <si>
    <t>Boralex US Operations LLC</t>
  </si>
  <si>
    <t>041</t>
  </si>
  <si>
    <t>Roosevelt</t>
  </si>
  <si>
    <t>NMRD Data Center III, LLC</t>
  </si>
  <si>
    <t>NMSU Solar and Storage</t>
  </si>
  <si>
    <t>Navajo Dam</t>
  </si>
  <si>
    <t>New Mexico Wind Energy Center</t>
  </si>
  <si>
    <t>FPL Energy New Mexico Wind LLC</t>
  </si>
  <si>
    <t>Oso Grande Wind Farm</t>
  </si>
  <si>
    <t>Tucson Electric Power Co</t>
  </si>
  <si>
    <t>Otero Solar</t>
  </si>
  <si>
    <t>Prosperity Energy Storage Facility Hybrid</t>
  </si>
  <si>
    <t>Questa Solar Facility</t>
  </si>
  <si>
    <t>Chevron Technology Ventures</t>
  </si>
  <si>
    <t>RC Energy AA LLC Solar Facility</t>
  </si>
  <si>
    <t>RC Energy AA LLC</t>
  </si>
  <si>
    <t>Red Cloud Wind LLC</t>
  </si>
  <si>
    <t>Red Mesa Wind LLC</t>
  </si>
  <si>
    <t>Rio Communities Solar Energy Center</t>
  </si>
  <si>
    <t>Rio De Oro Solar Energy Center</t>
  </si>
  <si>
    <t>Rio Rancho High School</t>
  </si>
  <si>
    <t>Rio Rancho Solar Energy Center</t>
  </si>
  <si>
    <t>Roadrunner Solar</t>
  </si>
  <si>
    <t>NRG Solar Roadrunner</t>
  </si>
  <si>
    <t>Roosevelt County</t>
  </si>
  <si>
    <t>Roswell Solar, LLC</t>
  </si>
  <si>
    <t>Route 66 Energy Center, LLC</t>
  </si>
  <si>
    <t>SEV NM Phase 2</t>
  </si>
  <si>
    <t>SPS1 Dollarhide</t>
  </si>
  <si>
    <t>SunE SPS1, LLC</t>
  </si>
  <si>
    <t>SPS2 Jal</t>
  </si>
  <si>
    <t>SunE SPS2, LLC</t>
  </si>
  <si>
    <t>SPS3 Lea</t>
  </si>
  <si>
    <t>SunE SPS3, LLC</t>
  </si>
  <si>
    <t>SPS4 Monument</t>
  </si>
  <si>
    <t>SunE SPS4, LLC</t>
  </si>
  <si>
    <t>SPS5 Hopi</t>
  </si>
  <si>
    <t>SunE SPS5, LLC</t>
  </si>
  <si>
    <t>Sagamore Wind</t>
  </si>
  <si>
    <t>Southwestern Electric Coop Inc - (NM)</t>
  </si>
  <si>
    <t>San Juan Mesa Wind Project LLC</t>
  </si>
  <si>
    <t>NRG Energy Gas &amp; Wind Holdings Inc</t>
  </si>
  <si>
    <t>San Miguel I Solar Energy Center</t>
  </si>
  <si>
    <t>San Miguel II Solar Energy Center</t>
  </si>
  <si>
    <t>Sandoval Solar Energy Center</t>
  </si>
  <si>
    <t>Santa Fe Solar Energy Center</t>
  </si>
  <si>
    <t>049</t>
  </si>
  <si>
    <t>Santa Fe</t>
  </si>
  <si>
    <t>Santolina Solar Energy Center</t>
  </si>
  <si>
    <t>Silver City WWTP PV Project</t>
  </si>
  <si>
    <t>Affordable Solar Silver City, LLC</t>
  </si>
  <si>
    <t>SoCore Clovis 1</t>
  </si>
  <si>
    <t>SoCore Clovis 1 LLC</t>
  </si>
  <si>
    <t>South Valley Solar Energy Center</t>
  </si>
  <si>
    <t>Springer Solar 1</t>
  </si>
  <si>
    <t>Sterling I Wind Farm</t>
  </si>
  <si>
    <t>AEM Wind LLC</t>
  </si>
  <si>
    <t>Storrie Lake Solar Project</t>
  </si>
  <si>
    <t>Mora-San Miguel Elec Coop</t>
  </si>
  <si>
    <t>MSM Solar LLC</t>
  </si>
  <si>
    <t>Sue Cleveland High School</t>
  </si>
  <si>
    <t>SunE EPE1 LLC</t>
  </si>
  <si>
    <t>SunE EPE2 LLC</t>
  </si>
  <si>
    <t>SunE EPE2, LLC</t>
  </si>
  <si>
    <t>Syncarpha Eagle Nest</t>
  </si>
  <si>
    <t>Syncarpha Eagle Nest I, LLC</t>
  </si>
  <si>
    <t>Syncarpha El Rito</t>
  </si>
  <si>
    <t>Syncarpha El Rito I, LLC</t>
  </si>
  <si>
    <t>Syncarpha Questa</t>
  </si>
  <si>
    <t>Syncarpha Questa I, LLC</t>
  </si>
  <si>
    <t>Syncarpha Taos</t>
  </si>
  <si>
    <t>Syncarpha Taos I, LLC</t>
  </si>
  <si>
    <t>Taos Mesa Energy Facility Hybrid</t>
  </si>
  <si>
    <t>Taos Mesa Energy Facility, LLC</t>
  </si>
  <si>
    <t>Tecolote Wind LLC</t>
  </si>
  <si>
    <t>Texico Wind Ranch LP</t>
  </si>
  <si>
    <t>Texico Wind LP</t>
  </si>
  <si>
    <t>Vista Solar Energy Center</t>
  </si>
  <si>
    <t>WSMR I</t>
  </si>
  <si>
    <t>Siemens Government Technologies Inc</t>
  </si>
  <si>
    <t>Wal-Mart Truth or Consequences PV</t>
  </si>
  <si>
    <t>City of Truth or Consequences - (NM)</t>
  </si>
  <si>
    <t>SSA Solar of NM 3, LLC</t>
  </si>
  <si>
    <t>Wildcat Wind</t>
  </si>
  <si>
    <t>Wildcat Wind, LLC</t>
  </si>
  <si>
    <r>
      <t>Emissions, MMT CO</t>
    </r>
    <r>
      <rPr>
        <b/>
        <vertAlign val="subscript"/>
        <sz val="11"/>
        <color theme="1"/>
        <rFont val="Aptos Narrow"/>
        <family val="2"/>
        <scheme val="minor"/>
      </rPr>
      <t>2</t>
    </r>
    <r>
      <rPr>
        <b/>
        <sz val="11"/>
        <color theme="1"/>
        <rFont val="Aptos Narrow"/>
        <family val="2"/>
        <scheme val="minor"/>
      </rPr>
      <t>e
(Source: 1990-2023 EPA Inventory by State)</t>
    </r>
  </si>
  <si>
    <t>Livestock</t>
  </si>
  <si>
    <t>Beef Cattle</t>
  </si>
  <si>
    <t>Total Livestock</t>
  </si>
  <si>
    <t>Dairy Cattle</t>
  </si>
  <si>
    <t>Sheep</t>
  </si>
  <si>
    <t>Horses</t>
  </si>
  <si>
    <t>Goats</t>
  </si>
  <si>
    <t>Swine</t>
  </si>
  <si>
    <t>American Bison</t>
  </si>
  <si>
    <t>Mules and Asses</t>
  </si>
  <si>
    <t>Poultry</t>
  </si>
  <si>
    <t>Enteric Fermentation</t>
  </si>
  <si>
    <r>
      <t>CH</t>
    </r>
    <r>
      <rPr>
        <vertAlign val="subscript"/>
        <sz val="11"/>
        <rFont val="Aptos Narrow"/>
        <family val="2"/>
        <scheme val="minor"/>
      </rPr>
      <t>4</t>
    </r>
  </si>
  <si>
    <t>Manure Management</t>
  </si>
  <si>
    <r>
      <t>N</t>
    </r>
    <r>
      <rPr>
        <vertAlign val="subscript"/>
        <sz val="11"/>
        <rFont val="Aptos Narrow"/>
        <family val="2"/>
        <scheme val="minor"/>
      </rPr>
      <t>2</t>
    </r>
    <r>
      <rPr>
        <sz val="11"/>
        <rFont val="Aptos Narrow"/>
        <family val="2"/>
        <scheme val="minor"/>
      </rPr>
      <t>O</t>
    </r>
  </si>
  <si>
    <t>Other Agriculture</t>
  </si>
  <si>
    <t>Agricultural Soil Management</t>
  </si>
  <si>
    <t>Cropland</t>
  </si>
  <si>
    <t>Grassland</t>
  </si>
  <si>
    <t>Rice Cultivation</t>
  </si>
  <si>
    <t>Liming</t>
  </si>
  <si>
    <r>
      <t>CO</t>
    </r>
    <r>
      <rPr>
        <vertAlign val="subscript"/>
        <sz val="11"/>
        <rFont val="Aptos Narrow"/>
        <family val="2"/>
        <scheme val="minor"/>
      </rPr>
      <t>2</t>
    </r>
  </si>
  <si>
    <t>Urea Fertilization</t>
  </si>
  <si>
    <t>Field Burning of Agricultural Residues</t>
  </si>
  <si>
    <t>Buildings: Residential</t>
  </si>
  <si>
    <t>Residential Sector Emissions</t>
  </si>
  <si>
    <r>
      <t>CO</t>
    </r>
    <r>
      <rPr>
        <vertAlign val="subscript"/>
        <sz val="11"/>
        <color theme="1"/>
        <rFont val="Aptos Narrow"/>
        <family val="2"/>
        <scheme val="minor"/>
      </rPr>
      <t>2</t>
    </r>
    <r>
      <rPr>
        <sz val="11"/>
        <color theme="1"/>
        <rFont val="Aptos Narrow"/>
        <family val="2"/>
        <scheme val="minor"/>
      </rPr>
      <t xml:space="preserve"> Emissions
[MT CO</t>
    </r>
    <r>
      <rPr>
        <vertAlign val="subscript"/>
        <sz val="11"/>
        <color theme="1"/>
        <rFont val="Aptos Narrow"/>
        <family val="2"/>
        <scheme val="minor"/>
      </rPr>
      <t>2</t>
    </r>
    <r>
      <rPr>
        <sz val="11"/>
        <color theme="1"/>
        <rFont val="Aptos Narrow"/>
        <family val="2"/>
        <scheme val="minor"/>
      </rPr>
      <t>]</t>
    </r>
  </si>
  <si>
    <r>
      <t>CH</t>
    </r>
    <r>
      <rPr>
        <vertAlign val="subscript"/>
        <sz val="11"/>
        <color theme="1"/>
        <rFont val="Aptos Narrow"/>
        <family val="2"/>
        <scheme val="minor"/>
      </rPr>
      <t>4</t>
    </r>
    <r>
      <rPr>
        <sz val="11"/>
        <color theme="1"/>
        <rFont val="Aptos Narrow"/>
        <family val="2"/>
        <scheme val="minor"/>
      </rPr>
      <t xml:space="preserve"> Emissions
[MT CH</t>
    </r>
    <r>
      <rPr>
        <vertAlign val="subscript"/>
        <sz val="11"/>
        <color theme="1"/>
        <rFont val="Aptos Narrow"/>
        <family val="2"/>
        <scheme val="minor"/>
      </rPr>
      <t>4</t>
    </r>
    <r>
      <rPr>
        <sz val="11"/>
        <color theme="1"/>
        <rFont val="Aptos Narrow"/>
        <family val="2"/>
        <scheme val="minor"/>
      </rPr>
      <t>]</t>
    </r>
  </si>
  <si>
    <r>
      <t>N</t>
    </r>
    <r>
      <rPr>
        <vertAlign val="subscript"/>
        <sz val="11"/>
        <color theme="1"/>
        <rFont val="Aptos Narrow"/>
        <family val="2"/>
        <scheme val="minor"/>
      </rPr>
      <t>2</t>
    </r>
    <r>
      <rPr>
        <sz val="11"/>
        <color theme="1"/>
        <rFont val="Aptos Narrow"/>
        <family val="2"/>
        <scheme val="minor"/>
      </rPr>
      <t>O Emissions
[MT N</t>
    </r>
    <r>
      <rPr>
        <vertAlign val="subscript"/>
        <sz val="11"/>
        <color theme="1"/>
        <rFont val="Aptos Narrow"/>
        <family val="2"/>
        <scheme val="minor"/>
      </rPr>
      <t>2</t>
    </r>
    <r>
      <rPr>
        <sz val="11"/>
        <color theme="1"/>
        <rFont val="Aptos Narrow"/>
        <family val="2"/>
        <scheme val="minor"/>
      </rPr>
      <t>O]</t>
    </r>
  </si>
  <si>
    <r>
      <t>Total Emissions
[MT CO</t>
    </r>
    <r>
      <rPr>
        <vertAlign val="subscript"/>
        <sz val="11"/>
        <color theme="1"/>
        <rFont val="Aptos Narrow"/>
        <family val="2"/>
        <scheme val="minor"/>
      </rPr>
      <t>2</t>
    </r>
    <r>
      <rPr>
        <sz val="11"/>
        <color theme="1"/>
        <rFont val="Aptos Narrow"/>
        <family val="2"/>
        <scheme val="minor"/>
      </rPr>
      <t>e]</t>
    </r>
  </si>
  <si>
    <r>
      <t>CO</t>
    </r>
    <r>
      <rPr>
        <vertAlign val="subscript"/>
        <sz val="11"/>
        <color theme="1"/>
        <rFont val="Aptos Narrow"/>
        <family val="2"/>
        <scheme val="minor"/>
      </rPr>
      <t>2</t>
    </r>
    <r>
      <rPr>
        <sz val="11"/>
        <color theme="1"/>
        <rFont val="Aptos Narrow"/>
        <family val="2"/>
        <scheme val="minor"/>
      </rPr>
      <t>(b) Emissions
[MT CO</t>
    </r>
    <r>
      <rPr>
        <vertAlign val="subscript"/>
        <sz val="11"/>
        <color theme="1"/>
        <rFont val="Aptos Narrow"/>
        <family val="2"/>
        <scheme val="minor"/>
      </rPr>
      <t>2</t>
    </r>
    <r>
      <rPr>
        <sz val="11"/>
        <color theme="1"/>
        <rFont val="Aptos Narrow"/>
        <family val="2"/>
        <scheme val="minor"/>
      </rPr>
      <t>(b)]</t>
    </r>
  </si>
  <si>
    <t>Distillate Fuel Oil</t>
  </si>
  <si>
    <t>Residential Sector Fuel Use</t>
  </si>
  <si>
    <t>in Btu</t>
  </si>
  <si>
    <t>in physical units</t>
  </si>
  <si>
    <t>Value</t>
  </si>
  <si>
    <t>Units</t>
  </si>
  <si>
    <t>DMRCB</t>
  </si>
  <si>
    <t>DMRCP</t>
  </si>
  <si>
    <t>KSRCB</t>
  </si>
  <si>
    <t>KSRCP</t>
  </si>
  <si>
    <t>NGRCB</t>
  </si>
  <si>
    <t>NGRCP</t>
  </si>
  <si>
    <t>PQRCB</t>
  </si>
  <si>
    <t>PQRCP</t>
  </si>
  <si>
    <t>WDRCB</t>
  </si>
  <si>
    <t>Source: U.S. EIA State Energy Data System (SEDS): 1960-2023 (complete)</t>
  </si>
  <si>
    <t>Released: June 27, 2025</t>
  </si>
  <si>
    <t>New Mexico State Profile and Energy Estimates</t>
  </si>
  <si>
    <t>'All consumption estimates'</t>
  </si>
  <si>
    <t>https://www.eia.gov/state/seds/seds-data-complete.php?sid=NM</t>
  </si>
  <si>
    <t>Emission Factors</t>
  </si>
  <si>
    <r>
      <t>CO</t>
    </r>
    <r>
      <rPr>
        <vertAlign val="subscript"/>
        <sz val="11"/>
        <color theme="1"/>
        <rFont val="Aptos Narrow"/>
        <family val="2"/>
        <scheme val="minor"/>
      </rPr>
      <t>2</t>
    </r>
    <r>
      <rPr>
        <sz val="11"/>
        <color theme="1"/>
        <rFont val="Aptos Narrow"/>
        <family val="2"/>
        <scheme val="minor"/>
      </rPr>
      <t xml:space="preserve"> Factor
[MMT C/QBtu]</t>
    </r>
  </si>
  <si>
    <r>
      <t>CH</t>
    </r>
    <r>
      <rPr>
        <vertAlign val="subscript"/>
        <sz val="11"/>
        <color theme="1"/>
        <rFont val="Aptos Narrow"/>
        <family val="2"/>
        <scheme val="minor"/>
      </rPr>
      <t>4</t>
    </r>
    <r>
      <rPr>
        <sz val="11"/>
        <color theme="1"/>
        <rFont val="Aptos Narrow"/>
        <family val="2"/>
        <scheme val="minor"/>
      </rPr>
      <t xml:space="preserve"> Factor
[g CH</t>
    </r>
    <r>
      <rPr>
        <vertAlign val="subscript"/>
        <sz val="11"/>
        <color theme="1"/>
        <rFont val="Aptos Narrow"/>
        <family val="2"/>
        <scheme val="minor"/>
      </rPr>
      <t>4</t>
    </r>
    <r>
      <rPr>
        <sz val="11"/>
        <color theme="1"/>
        <rFont val="Aptos Narrow"/>
        <family val="2"/>
        <scheme val="minor"/>
      </rPr>
      <t>/GJ]</t>
    </r>
  </si>
  <si>
    <r>
      <t>N</t>
    </r>
    <r>
      <rPr>
        <vertAlign val="subscript"/>
        <sz val="11"/>
        <color theme="1"/>
        <rFont val="Aptos Narrow"/>
        <family val="2"/>
        <scheme val="minor"/>
      </rPr>
      <t>2</t>
    </r>
    <r>
      <rPr>
        <sz val="11"/>
        <color theme="1"/>
        <rFont val="Aptos Narrow"/>
        <family val="2"/>
        <scheme val="minor"/>
      </rPr>
      <t>O Factor
[g N</t>
    </r>
    <r>
      <rPr>
        <vertAlign val="subscript"/>
        <sz val="11"/>
        <color theme="1"/>
        <rFont val="Aptos Narrow"/>
        <family val="2"/>
        <scheme val="minor"/>
      </rPr>
      <t>2</t>
    </r>
    <r>
      <rPr>
        <sz val="11"/>
        <color theme="1"/>
        <rFont val="Aptos Narrow"/>
        <family val="2"/>
        <scheme val="minor"/>
      </rPr>
      <t>O/GJ]</t>
    </r>
  </si>
  <si>
    <r>
      <t>CO</t>
    </r>
    <r>
      <rPr>
        <vertAlign val="subscript"/>
        <sz val="11"/>
        <color theme="1"/>
        <rFont val="Aptos Narrow"/>
        <family val="2"/>
        <scheme val="minor"/>
      </rPr>
      <t>2</t>
    </r>
    <r>
      <rPr>
        <sz val="11"/>
        <color theme="1"/>
        <rFont val="Aptos Narrow"/>
        <family val="2"/>
        <scheme val="minor"/>
      </rPr>
      <t xml:space="preserve"> Factor
[kg CO</t>
    </r>
    <r>
      <rPr>
        <vertAlign val="subscript"/>
        <sz val="11"/>
        <color theme="1"/>
        <rFont val="Aptos Narrow"/>
        <family val="2"/>
        <scheme val="minor"/>
      </rPr>
      <t>2</t>
    </r>
    <r>
      <rPr>
        <sz val="11"/>
        <color theme="1"/>
        <rFont val="Aptos Narrow"/>
        <family val="2"/>
        <scheme val="minor"/>
      </rPr>
      <t>/MMBtu]</t>
    </r>
  </si>
  <si>
    <r>
      <t>CH</t>
    </r>
    <r>
      <rPr>
        <vertAlign val="subscript"/>
        <sz val="11"/>
        <color theme="1"/>
        <rFont val="Aptos Narrow"/>
        <family val="2"/>
        <scheme val="minor"/>
      </rPr>
      <t>4</t>
    </r>
    <r>
      <rPr>
        <sz val="11"/>
        <color theme="1"/>
        <rFont val="Aptos Narrow"/>
        <family val="2"/>
        <scheme val="minor"/>
      </rPr>
      <t xml:space="preserve"> Factor
[g CH</t>
    </r>
    <r>
      <rPr>
        <vertAlign val="subscript"/>
        <sz val="11"/>
        <color theme="1"/>
        <rFont val="Aptos Narrow"/>
        <family val="2"/>
        <scheme val="minor"/>
      </rPr>
      <t>4</t>
    </r>
    <r>
      <rPr>
        <sz val="11"/>
        <color theme="1"/>
        <rFont val="Aptos Narrow"/>
        <family val="2"/>
        <scheme val="minor"/>
      </rPr>
      <t>/MMBtu]</t>
    </r>
  </si>
  <si>
    <r>
      <t>N</t>
    </r>
    <r>
      <rPr>
        <vertAlign val="subscript"/>
        <sz val="11"/>
        <color theme="1"/>
        <rFont val="Aptos Narrow"/>
        <family val="2"/>
        <scheme val="minor"/>
      </rPr>
      <t>2</t>
    </r>
    <r>
      <rPr>
        <sz val="11"/>
        <color theme="1"/>
        <rFont val="Aptos Narrow"/>
        <family val="2"/>
        <scheme val="minor"/>
      </rPr>
      <t>O Factor
[g N</t>
    </r>
    <r>
      <rPr>
        <vertAlign val="subscript"/>
        <sz val="11"/>
        <color theme="1"/>
        <rFont val="Aptos Narrow"/>
        <family val="2"/>
        <scheme val="minor"/>
      </rPr>
      <t>2</t>
    </r>
    <r>
      <rPr>
        <sz val="11"/>
        <color theme="1"/>
        <rFont val="Aptos Narrow"/>
        <family val="2"/>
        <scheme val="minor"/>
      </rPr>
      <t>O/MMBtu]</t>
    </r>
  </si>
  <si>
    <t>Distillate Fuel Oil No. 2</t>
  </si>
  <si>
    <t>LPG (Propane)</t>
  </si>
  <si>
    <t>not listed</t>
  </si>
  <si>
    <t>Source: Annexes to the Inventory of U.S. Greenhouse Gas Emissions and Sinks</t>
  </si>
  <si>
    <t>Table A-20:  C Content Coefficients by Year (MMT C/QBtu)</t>
  </si>
  <si>
    <t>Table A-66:  CH4 and N2O Emission Factors by Fuel Type and Sector (g/GJ)</t>
  </si>
  <si>
    <t>https://www.epa.gov/system/files/documents/2024-04/us-ghg-inventory-2024-annexes.pdf</t>
  </si>
  <si>
    <t>Wood and wood residuals</t>
  </si>
  <si>
    <t>Source: U.S. EPA 2025 GHG Emission Factors Hub</t>
  </si>
  <si>
    <t>Last Modified: January 15, 2025</t>
  </si>
  <si>
    <t>Table 1. Stationary Combustion</t>
  </si>
  <si>
    <t>https://www.epa.gov/system/files/documents/2025-01/ghg-emission-factors-hub-2025.pdf</t>
  </si>
  <si>
    <t>Table 11. Global Warming Potential (GWP)</t>
  </si>
  <si>
    <t>Conversion Factors</t>
  </si>
  <si>
    <t xml:space="preserve">1 GJ = </t>
  </si>
  <si>
    <t>MMBtu</t>
  </si>
  <si>
    <t>Buildings: Commercial</t>
  </si>
  <si>
    <t>Commercial Sector (Adjusted) Emissions</t>
  </si>
  <si>
    <r>
      <rPr>
        <sz val="11"/>
        <color rgb="FF000000"/>
        <rFont val="Aptos Narrow"/>
        <family val="2"/>
        <scheme val="minor"/>
      </rPr>
      <t>CH</t>
    </r>
    <r>
      <rPr>
        <vertAlign val="subscript"/>
        <sz val="11"/>
        <color rgb="FF000000"/>
        <rFont val="Aptos Narrow"/>
        <family val="2"/>
        <scheme val="minor"/>
      </rPr>
      <t>4</t>
    </r>
    <r>
      <rPr>
        <sz val="11"/>
        <color rgb="FF000000"/>
        <rFont val="Aptos Narrow"/>
        <family val="2"/>
        <scheme val="minor"/>
      </rPr>
      <t xml:space="preserve"> Emissions
[MT CH</t>
    </r>
    <r>
      <rPr>
        <vertAlign val="subscript"/>
        <sz val="11"/>
        <color rgb="FF000000"/>
        <rFont val="Aptos Narrow"/>
        <family val="2"/>
        <scheme val="minor"/>
      </rPr>
      <t>4</t>
    </r>
    <r>
      <rPr>
        <sz val="11"/>
        <color rgb="FF000000"/>
        <rFont val="Aptos Narrow"/>
        <family val="2"/>
        <scheme val="minor"/>
      </rPr>
      <t>]</t>
    </r>
  </si>
  <si>
    <t>Commercial Sector Fuel Use</t>
  </si>
  <si>
    <t>DMCCB</t>
  </si>
  <si>
    <t>DMCCP</t>
  </si>
  <si>
    <t>Fuel Ethanol</t>
  </si>
  <si>
    <t>EMCCB</t>
  </si>
  <si>
    <t>ENCCP</t>
  </si>
  <si>
    <t>KSCCB</t>
  </si>
  <si>
    <t>KSCCP</t>
  </si>
  <si>
    <t>MGCCB</t>
  </si>
  <si>
    <t>MGCCP</t>
  </si>
  <si>
    <t>NGCCB</t>
  </si>
  <si>
    <t>NGCCP</t>
  </si>
  <si>
    <t>PQCCB</t>
  </si>
  <si>
    <t>PQCCP</t>
  </si>
  <si>
    <t>WDCCB</t>
  </si>
  <si>
    <t>Commercial Sector (Unadjusted) Emissions</t>
  </si>
  <si>
    <t>Deductions from Transportation Sector</t>
  </si>
  <si>
    <t>Note: The commercial sector SEDS data for motor gasoline include lawn and garden use, public non-highway use, and miscellaneous use (including unclassified and logging and railroad).</t>
  </si>
  <si>
    <t>We have quantified emissions (as calculated by the MOVES nonroad model) from lawn and garden use, logging, and railroad, which collectively account for roughly 85% of motor gasoline emissions.</t>
  </si>
  <si>
    <t>MOVES does not have a separate category for public non-highway use, but it seems reasonable that public non-highway use accounts for the remaining 15%.</t>
  </si>
  <si>
    <t>To avoid double-counting with the transportation sector, we have deducted the emissions motor gasoline and fuel ethanol.</t>
  </si>
  <si>
    <t>Counterintuitively, the industrial sector SEDS data for motor gasoline include commercial use. We have deducted those emissions accordingly from the industrial sector.</t>
  </si>
  <si>
    <t>Sector ID</t>
  </si>
  <si>
    <t>Sector</t>
  </si>
  <si>
    <t>Deduct from Commercial Sector?</t>
  </si>
  <si>
    <t>Gasoline</t>
  </si>
  <si>
    <t>N</t>
  </si>
  <si>
    <t>Y</t>
  </si>
  <si>
    <t>Source: MOVES model run from Transportation Sector results.</t>
  </si>
  <si>
    <t>Beginning in 2015, commercial sector sales are the sum of three data series: miscellaneous (including unclassified and logging and railroad), public non-highway, and a new sales category, lawn and garden use (MGLGP):</t>
  </si>
  <si>
    <t>MGCMPZZ = MGMSPZZ + MGPNPZZ + MGLGPZZ</t>
  </si>
  <si>
    <t>MGMSPZZ = motor gasoline sold for miscellaneous and unclassified uses in each state, in thousand gallons.</t>
  </si>
  <si>
    <t>MGPNPZZ = motor fuel sold for public non-highway use in each state, in thousand gallons.</t>
  </si>
  <si>
    <t>MGLGPZZ = motor gasoline sold for lawn and garden use in each state, in thousand gallons (2015 forward).</t>
  </si>
  <si>
    <t xml:space="preserve">Industrial sector sales of motor gasoline in each state (MGINPZZ) are the sum of the sales for agricultural use, for construction use, and for industrial and commercial use: </t>
  </si>
  <si>
    <t>MGINPZZ = MGAGPZZ + MGCUPZZ + MGIYPZZ</t>
  </si>
  <si>
    <t>MGAGPZZ = motor gasoline sold for agricultural use in each state, in thousand gallons.</t>
  </si>
  <si>
    <t>MGCUPZZ = motor gasoline sold for construction use in each state, in thousand gallons.</t>
  </si>
  <si>
    <t>MGIYPZZ = motor gasoline sold for industrial and commercial use in each state, in thousand gallons.</t>
  </si>
  <si>
    <t>Deductions from Electric Power Sector</t>
  </si>
  <si>
    <t>Note: The commercial sector SEDS data include fuel use from generators that produce electricity and/or useful thermal output primarily to support commercial activities.</t>
  </si>
  <si>
    <t xml:space="preserve">There are three such plants in NM: one is wind and has no emissions; two are natural gas. </t>
  </si>
  <si>
    <t>To avoid double-counting with the electric power sector, we have deducted emissions (as reported by eGRID) from the two natural gas plants.</t>
  </si>
  <si>
    <t>Since they are both combined heat and power (CHP) plants, we have deducted only the portion of emissions attributable to the electricity production.</t>
  </si>
  <si>
    <t>Emissions attributable to the production of heat remain in the commercial sector.</t>
  </si>
  <si>
    <t>Plant annual net generation [MWh]</t>
  </si>
  <si>
    <r>
      <t>Plant annual CO</t>
    </r>
    <r>
      <rPr>
        <vertAlign val="subscript"/>
        <sz val="11"/>
        <color theme="1"/>
        <rFont val="Aptos Narrow"/>
        <family val="2"/>
        <scheme val="minor"/>
      </rPr>
      <t>2</t>
    </r>
    <r>
      <rPr>
        <sz val="11"/>
        <color theme="1"/>
        <rFont val="Aptos Narrow"/>
        <family val="2"/>
        <scheme val="minor"/>
      </rPr>
      <t xml:space="preserve"> emissions [tons]</t>
    </r>
  </si>
  <si>
    <r>
      <t>Plant annual CH</t>
    </r>
    <r>
      <rPr>
        <vertAlign val="subscript"/>
        <sz val="11"/>
        <color theme="1"/>
        <rFont val="Aptos Narrow"/>
        <family val="2"/>
        <scheme val="minor"/>
      </rPr>
      <t>4</t>
    </r>
    <r>
      <rPr>
        <sz val="11"/>
        <color theme="1"/>
        <rFont val="Aptos Narrow"/>
        <family val="2"/>
        <scheme val="minor"/>
      </rPr>
      <t xml:space="preserve"> emissions [lbs]</t>
    </r>
  </si>
  <si>
    <r>
      <t>Plant annual N</t>
    </r>
    <r>
      <rPr>
        <vertAlign val="subscript"/>
        <sz val="11"/>
        <color theme="1"/>
        <rFont val="Aptos Narrow"/>
        <family val="2"/>
        <scheme val="minor"/>
      </rPr>
      <t>2</t>
    </r>
    <r>
      <rPr>
        <sz val="11"/>
        <color theme="1"/>
        <rFont val="Aptos Narrow"/>
        <family val="2"/>
        <scheme val="minor"/>
      </rPr>
      <t>O emissions [lbs]</t>
    </r>
  </si>
  <si>
    <t>Ethanol (100%)</t>
  </si>
  <si>
    <t xml:space="preserve">1 U.S. ton = </t>
  </si>
  <si>
    <t xml:space="preserve">1 lb = </t>
  </si>
  <si>
    <t>Waste</t>
  </si>
  <si>
    <t>Anaerobic Digestion at Biogas Facilities</t>
  </si>
  <si>
    <t>Composting</t>
  </si>
  <si>
    <t>Industrial Waste Landfill Emissions</t>
  </si>
  <si>
    <t>MSW Landfill Emissions</t>
  </si>
  <si>
    <t>Wastewater Treatment and Discharge</t>
  </si>
  <si>
    <t>MMTCO2e</t>
  </si>
  <si>
    <t>Inventory of U.S. Greenhouse Gas Emissions and Sinks by State: NM, 1990-2023</t>
  </si>
  <si>
    <t>Downloaded September 09, 2025: https://www.edf.org/freedom-information-act-documents-epas-greenhouse-gas-inventory#:~:text=Update%20August%202025%20-%20Download%20the%20consolidated%20data%20for%20all%20states%20and%20Appendices%20A-I; filename: "DRAFT_AllStateGHGdata_90-23.xlsx"</t>
  </si>
  <si>
    <t>sector</t>
  </si>
  <si>
    <t>subsector</t>
  </si>
  <si>
    <t>sub_category_1</t>
  </si>
  <si>
    <t>sub_category_2</t>
  </si>
  <si>
    <t>sub_category_3</t>
  </si>
  <si>
    <t>sub_category_4</t>
  </si>
  <si>
    <t>sub_category_5</t>
  </si>
  <si>
    <t>carbon_pool</t>
  </si>
  <si>
    <t>fuel1</t>
  </si>
  <si>
    <t>fuel2</t>
  </si>
  <si>
    <t>geo_ref</t>
  </si>
  <si>
    <t>units</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</si>
  <si>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</si>
  <si>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</si>
  <si>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</si>
  <si>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</si>
  <si>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</si>
  <si>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</si>
  <si>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</si>
  <si>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</si>
  <si>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</si>
  <si>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</si>
  <si>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</si>
  <si>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</si>
  <si>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</si>
  <si>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</si>
  <si>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</si>
  <si>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</si>
  <si>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</si>
  <si>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</si>
  <si>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</si>
  <si>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</si>
  <si>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</si>
  <si>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</si>
  <si>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</si>
  <si>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</si>
  <si>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</si>
  <si>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</si>
  <si>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</si>
  <si>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</si>
  <si>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</si>
  <si>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</si>
  <si>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</si>
  <si>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</si>
  <si>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</si>
  <si>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Y2023</t>
  </si>
  <si>
    <t>Biological Treatment of Solid Waste</t>
  </si>
  <si>
    <t>Solid Waste Disposal</t>
  </si>
  <si>
    <t>Landfills</t>
  </si>
  <si>
    <t>Industrial Waste Landfills Emissions</t>
  </si>
  <si>
    <t>MSW Landfills Emissions</t>
  </si>
  <si>
    <t>Domestic</t>
  </si>
  <si>
    <t>GHG</t>
  </si>
  <si>
    <t>Natural and Working Lands</t>
  </si>
  <si>
    <r>
      <t>Emissions and Removals, MMT CO</t>
    </r>
    <r>
      <rPr>
        <b/>
        <vertAlign val="subscript"/>
        <sz val="11"/>
        <color theme="1"/>
        <rFont val="Aptos Narrow"/>
        <family val="2"/>
        <scheme val="minor"/>
      </rPr>
      <t>2</t>
    </r>
    <r>
      <rPr>
        <b/>
        <sz val="11"/>
        <color theme="1"/>
        <rFont val="Aptos Narrow"/>
        <family val="2"/>
        <scheme val="minor"/>
      </rPr>
      <t>e
(Source: 1990-2023 EPA Inventory by State)</t>
    </r>
  </si>
  <si>
    <t>Cropland Remaining Cropland</t>
  </si>
  <si>
    <t>Aboveground Biomass</t>
  </si>
  <si>
    <t>Mineral Soil</t>
  </si>
  <si>
    <t>Land Converted to Cropland</t>
  </si>
  <si>
    <t>Belowground Biomass</t>
  </si>
  <si>
    <t>Dead Wood</t>
  </si>
  <si>
    <t>Litter</t>
  </si>
  <si>
    <t>Forest Converted to Cropland</t>
  </si>
  <si>
    <t>Grassland Converted to Cropland</t>
  </si>
  <si>
    <t>Other Lands Converted to Cropland</t>
  </si>
  <si>
    <t>Settlements Converted to Cropland</t>
  </si>
  <si>
    <t>Wetlands Converted to Cropland</t>
  </si>
  <si>
    <t>Grassland Remaining Grassland</t>
  </si>
  <si>
    <t>Grass Fires</t>
  </si>
  <si>
    <t>Land Converted to Grassland</t>
  </si>
  <si>
    <t>Cropland Converted to Grassland</t>
  </si>
  <si>
    <t>Forest Converted to Grassland</t>
  </si>
  <si>
    <t>Other Lands Converted to Grassland</t>
  </si>
  <si>
    <t>Settlements Converted to Grassland</t>
  </si>
  <si>
    <t>Wetlands Converted to Grassland</t>
  </si>
  <si>
    <t>Forest Land</t>
  </si>
  <si>
    <t>Forest Land Remaining Forest Land</t>
  </si>
  <si>
    <t>Forest Fires</t>
  </si>
  <si>
    <t>Land Converted to Forest Land</t>
  </si>
  <si>
    <t>Cropland Converted to Forest Land</t>
  </si>
  <si>
    <t>Grassland Converted to Forest Land</t>
  </si>
  <si>
    <t>Other Land Converted to Forest Land</t>
  </si>
  <si>
    <t>Settlements Converted to Forest Land</t>
  </si>
  <si>
    <t>Wetlands Converted to Forest Land</t>
  </si>
  <si>
    <t>Settlements</t>
  </si>
  <si>
    <t>Settlements Remaining Settlements</t>
  </si>
  <si>
    <t>Urban Trees</t>
  </si>
  <si>
    <t>Landfilled Yard Trimmings and Food Scraps</t>
  </si>
  <si>
    <t>Grass</t>
  </si>
  <si>
    <t>Leaves</t>
  </si>
  <si>
    <t>Branches</t>
  </si>
  <si>
    <t>Food Scraps</t>
  </si>
  <si>
    <r>
      <t>N</t>
    </r>
    <r>
      <rPr>
        <vertAlign val="subscript"/>
        <sz val="11"/>
        <rFont val="Aptos Narrow"/>
        <family val="2"/>
        <scheme val="minor"/>
      </rPr>
      <t>2</t>
    </r>
    <r>
      <rPr>
        <sz val="11"/>
        <rFont val="Aptos Narrow"/>
        <family val="2"/>
        <scheme val="minor"/>
      </rPr>
      <t>O from Settlement Soils</t>
    </r>
  </si>
  <si>
    <t>Land Converted to Settlements</t>
  </si>
  <si>
    <t>Aboveground live Biomass</t>
  </si>
  <si>
    <t>Belowground live Biomass</t>
  </si>
  <si>
    <t>Mineral</t>
  </si>
  <si>
    <t>Wetlands</t>
  </si>
  <si>
    <t>Wetlands Remaining Wetlands</t>
  </si>
  <si>
    <t>Peatlands, off-site</t>
  </si>
  <si>
    <t>Flooded Land Remaining Flooded Land</t>
  </si>
  <si>
    <t>Reservoir</t>
  </si>
  <si>
    <t>Downstream</t>
  </si>
  <si>
    <t>Surface</t>
  </si>
  <si>
    <t>Canals and ditches</t>
  </si>
  <si>
    <t>Freshwater pond</t>
  </si>
  <si>
    <t>Land Converted to Flooded Land</t>
  </si>
  <si>
    <t>Net Total</t>
  </si>
  <si>
    <r>
      <t>Emissions (N</t>
    </r>
    <r>
      <rPr>
        <vertAlign val="subscript"/>
        <sz val="12"/>
        <rFont val="Aptos Narrow"/>
        <family val="2"/>
        <scheme val="minor"/>
      </rPr>
      <t>2</t>
    </r>
    <r>
      <rPr>
        <sz val="12"/>
        <rFont val="Aptos Narrow"/>
        <family val="2"/>
        <scheme val="minor"/>
      </rPr>
      <t>O or CH</t>
    </r>
    <r>
      <rPr>
        <vertAlign val="subscript"/>
        <sz val="12"/>
        <rFont val="Aptos Narrow"/>
        <family val="2"/>
        <scheme val="minor"/>
      </rPr>
      <t>4</t>
    </r>
    <r>
      <rPr>
        <sz val="12"/>
        <rFont val="Aptos Narrow"/>
        <family val="2"/>
        <scheme val="minor"/>
      </rPr>
      <t>)</t>
    </r>
  </si>
  <si>
    <t>Carbon Stock Change</t>
  </si>
  <si>
    <t>Percent</t>
  </si>
  <si>
    <r>
      <t>2021 New Mexico On-Road Transportation GHG Emissions, Allocation Factors by Vehicle Type (MMT CO</t>
    </r>
    <r>
      <rPr>
        <b/>
        <sz val="8"/>
        <color theme="1"/>
        <rFont val="Aptos Narrow"/>
        <family val="2"/>
        <scheme val="minor"/>
      </rPr>
      <t>2</t>
    </r>
    <r>
      <rPr>
        <b/>
        <sz val="11"/>
        <color theme="1"/>
        <rFont val="Aptos Narrow"/>
        <family val="2"/>
        <scheme val="minor"/>
      </rPr>
      <t>)</t>
    </r>
  </si>
  <si>
    <t>Source: Inventory of U.S. Greenhouse Gas Emissions and Sinks: 1990-2021 (via https://cfpub.epa.gov/ghgdata/inventoryexplorer/index.html), allocated by vehicle type using U.S. EPA Emissions Modeling Platform (EMP 2016v3) and MOVES4.0.1</t>
  </si>
  <si>
    <t>Sources: U.S. GHG Inventory 1990-2023 (downloaded from Environmental Defense Fund site, obtained via FOIA request) Transportation-Related Greenhouse Gas Emissions (MMT CO2e; Table 2-13);EPA  MOVES; EPA Emissions Modeling Platform. Supporting calculations and inputs below.</t>
  </si>
  <si>
    <t>SIT Tool Stationary Combustion Module</t>
  </si>
  <si>
    <t>EPA Region</t>
  </si>
  <si>
    <t>State-County</t>
  </si>
  <si>
    <t>Pollutant</t>
  </si>
  <si>
    <t>2022 Emissions (Tons)</t>
  </si>
  <si>
    <t>2026 Emissions (Tons)</t>
  </si>
  <si>
    <t>2032 Emissions (Tons)</t>
  </si>
  <si>
    <t>2038 Emissions (Tons)</t>
  </si>
  <si>
    <t>SCC Level 4</t>
  </si>
  <si>
    <t>2022 gallons</t>
  </si>
  <si>
    <t>Year-by-Year Projections</t>
  </si>
  <si>
    <t>NM-Chaves</t>
  </si>
  <si>
    <t>SO2</t>
  </si>
  <si>
    <t>Line Haul Locomotives: Class I Operations</t>
  </si>
  <si>
    <t>NM-Cibola</t>
  </si>
  <si>
    <t>NM-Curry</t>
  </si>
  <si>
    <t>EMP Projections</t>
  </si>
  <si>
    <t>Calendar Year</t>
  </si>
  <si>
    <t>Total Diesel Consumption (gallons)</t>
  </si>
  <si>
    <t>CO2 Emissions (MMT CO2)</t>
  </si>
  <si>
    <t>NM-De Baca</t>
  </si>
  <si>
    <t>EMP Year</t>
  </si>
  <si>
    <t>NM-Dona Ana</t>
  </si>
  <si>
    <t>Interpolated Year</t>
  </si>
  <si>
    <t>NM-Eddy</t>
  </si>
  <si>
    <t>NM-Grant</t>
  </si>
  <si>
    <t>NM-Guadalupe</t>
  </si>
  <si>
    <t>NM-Hidalgo</t>
  </si>
  <si>
    <t>NM-Lincoln</t>
  </si>
  <si>
    <t>NM-Luna</t>
  </si>
  <si>
    <t>NM-McKinley</t>
  </si>
  <si>
    <t>NM-Otero</t>
  </si>
  <si>
    <t>NM-Quay</t>
  </si>
  <si>
    <t>NM-Roosevelt</t>
  </si>
  <si>
    <t>NM-Sierra</t>
  </si>
  <si>
    <t>NM-Socorro</t>
  </si>
  <si>
    <t>NM-Torrance</t>
  </si>
  <si>
    <t>NM-Union</t>
  </si>
  <si>
    <t>NM-Valencia</t>
  </si>
  <si>
    <t>Line Haul Locomotives: Class II / III Operations</t>
  </si>
  <si>
    <t>NM-Lea</t>
  </si>
  <si>
    <t>NM-Rio Arriba</t>
  </si>
  <si>
    <t>NM-Bernalillo</t>
  </si>
  <si>
    <t>Line Haul Locomotives: Passenger Trains (Amtrak)</t>
  </si>
  <si>
    <t>NM-Colfax</t>
  </si>
  <si>
    <t>NM-Mora</t>
  </si>
  <si>
    <t>NM-San Miguel</t>
  </si>
  <si>
    <t>NM-Sandoval</t>
  </si>
  <si>
    <t>NM-Santa Fe</t>
  </si>
  <si>
    <t>Yard Locomotives</t>
  </si>
  <si>
    <t>Summary of Economy-wide GHG Emissions for Year 2023.</t>
  </si>
  <si>
    <r>
      <t>2023 Emissions [MMT CO</t>
    </r>
    <r>
      <rPr>
        <b/>
        <vertAlign val="subscript"/>
        <sz val="11"/>
        <color theme="1"/>
        <rFont val="Aptos Narrow"/>
        <family val="2"/>
        <scheme val="minor"/>
      </rPr>
      <t>2</t>
    </r>
    <r>
      <rPr>
        <b/>
        <sz val="11"/>
        <color theme="1"/>
        <rFont val="Aptos Narrow"/>
        <family val="2"/>
        <scheme val="minor"/>
      </rPr>
      <t>e]</t>
    </r>
  </si>
  <si>
    <t>Industry</t>
  </si>
  <si>
    <t xml:space="preserve"> - Oil and Gas</t>
  </si>
  <si>
    <t xml:space="preserve"> - Industrial Fuel Combustion</t>
  </si>
  <si>
    <t xml:space="preserve"> - Industrial Processes and Product Use</t>
  </si>
  <si>
    <t xml:space="preserve"> - Coal Mining and Abandoned Mines</t>
  </si>
  <si>
    <t>Buildings</t>
  </si>
  <si>
    <t xml:space="preserve"> - Residential</t>
  </si>
  <si>
    <t xml:space="preserve"> - Commercial</t>
  </si>
  <si>
    <t>Waste and Materials Management</t>
  </si>
  <si>
    <t>Total Gross Emissions</t>
  </si>
  <si>
    <t>Economy-wide GHG Emissions for Year 2023 by Gas.</t>
  </si>
  <si>
    <r>
      <t>Emissions [MMT CO</t>
    </r>
    <r>
      <rPr>
        <b/>
        <vertAlign val="subscript"/>
        <sz val="11"/>
        <color theme="1"/>
        <rFont val="Aptos Narrow"/>
        <family val="2"/>
        <scheme val="minor"/>
      </rPr>
      <t>2</t>
    </r>
    <r>
      <rPr>
        <b/>
        <sz val="11"/>
        <color theme="1"/>
        <rFont val="Aptos Narrow"/>
        <family val="2"/>
        <scheme val="minor"/>
      </rPr>
      <t>e]</t>
    </r>
  </si>
  <si>
    <r>
      <t>CO</t>
    </r>
    <r>
      <rPr>
        <b/>
        <vertAlign val="subscript"/>
        <sz val="11"/>
        <color theme="1"/>
        <rFont val="Aptos Narrow"/>
        <family val="2"/>
        <scheme val="minor"/>
      </rPr>
      <t>2</t>
    </r>
  </si>
  <si>
    <r>
      <t>CH</t>
    </r>
    <r>
      <rPr>
        <b/>
        <vertAlign val="subscript"/>
        <sz val="11"/>
        <color theme="1"/>
        <rFont val="Aptos Narrow"/>
        <family val="2"/>
        <scheme val="minor"/>
      </rPr>
      <t>4</t>
    </r>
  </si>
  <si>
    <r>
      <t>N</t>
    </r>
    <r>
      <rPr>
        <b/>
        <vertAlign val="subscript"/>
        <sz val="11"/>
        <color theme="1"/>
        <rFont val="Aptos Narrow"/>
        <family val="2"/>
        <scheme val="minor"/>
      </rPr>
      <t>2</t>
    </r>
    <r>
      <rPr>
        <b/>
        <sz val="11"/>
        <color theme="1"/>
        <rFont val="Aptos Narrow"/>
        <family val="2"/>
        <scheme val="minor"/>
      </rPr>
      <t>O</t>
    </r>
  </si>
  <si>
    <t>HFCs</t>
  </si>
  <si>
    <t>PFCs</t>
  </si>
  <si>
    <r>
      <t>SF</t>
    </r>
    <r>
      <rPr>
        <b/>
        <vertAlign val="subscript"/>
        <sz val="11"/>
        <color theme="1"/>
        <rFont val="Aptos Narrow"/>
        <family val="2"/>
        <scheme val="minor"/>
      </rPr>
      <t>6</t>
    </r>
  </si>
  <si>
    <r>
      <t>NF</t>
    </r>
    <r>
      <rPr>
        <b/>
        <vertAlign val="subscript"/>
        <sz val="11"/>
        <color theme="1"/>
        <rFont val="Aptos Narrow"/>
        <family val="2"/>
        <scheme val="minor"/>
      </rPr>
      <t>3</t>
    </r>
  </si>
  <si>
    <t>—</t>
  </si>
  <si>
    <t>Summary of Economy-wide GHG Emissions Over Time.</t>
  </si>
  <si>
    <r>
      <t>2005 Base Emissions
[MMT CO</t>
    </r>
    <r>
      <rPr>
        <b/>
        <vertAlign val="subscript"/>
        <sz val="11"/>
        <color theme="1"/>
        <rFont val="Aptos Narrow"/>
        <family val="2"/>
        <scheme val="minor"/>
      </rPr>
      <t>2</t>
    </r>
    <r>
      <rPr>
        <b/>
        <sz val="11"/>
        <color theme="1"/>
        <rFont val="Aptos Narrow"/>
        <family val="2"/>
        <scheme val="minor"/>
      </rPr>
      <t>e]</t>
    </r>
  </si>
  <si>
    <r>
      <t>2018 Interim Emissions
[MMT CO</t>
    </r>
    <r>
      <rPr>
        <b/>
        <vertAlign val="subscript"/>
        <sz val="11"/>
        <color theme="1"/>
        <rFont val="Aptos Narrow"/>
        <family val="2"/>
        <scheme val="minor"/>
      </rPr>
      <t>2</t>
    </r>
    <r>
      <rPr>
        <b/>
        <sz val="11"/>
        <color theme="1"/>
        <rFont val="Aptos Narrow"/>
        <family val="2"/>
        <scheme val="minor"/>
      </rPr>
      <t>e]</t>
    </r>
  </si>
  <si>
    <r>
      <t>2021 Interim Emissions
[MMT CO</t>
    </r>
    <r>
      <rPr>
        <b/>
        <vertAlign val="subscript"/>
        <sz val="11"/>
        <color theme="1"/>
        <rFont val="Aptos Narrow"/>
        <family val="2"/>
        <scheme val="minor"/>
      </rPr>
      <t>2</t>
    </r>
    <r>
      <rPr>
        <b/>
        <sz val="11"/>
        <color theme="1"/>
        <rFont val="Aptos Narrow"/>
        <family val="2"/>
        <scheme val="minor"/>
      </rPr>
      <t>e]</t>
    </r>
  </si>
  <si>
    <r>
      <t>2023 Current Emissions
[MMT CO</t>
    </r>
    <r>
      <rPr>
        <b/>
        <vertAlign val="subscript"/>
        <sz val="11"/>
        <color theme="1"/>
        <rFont val="Aptos Narrow"/>
        <family val="2"/>
        <scheme val="minor"/>
      </rPr>
      <t>2</t>
    </r>
    <r>
      <rPr>
        <b/>
        <sz val="11"/>
        <color theme="1"/>
        <rFont val="Aptos Narrow"/>
        <family val="2"/>
        <scheme val="minor"/>
      </rPr>
      <t>e]</t>
    </r>
  </si>
  <si>
    <t>Change Relative to 2005
[%]</t>
  </si>
  <si>
    <t>Change Relative to 2021
[%]</t>
  </si>
  <si>
    <t>Technical Notes &amp; Documentation: 2023 SEDS</t>
  </si>
  <si>
    <t>https://www.eia.gov/state/seds/seds-technical-notes-complete.php?sid=US#Consumption</t>
  </si>
  <si>
    <t>Full Documentation:</t>
  </si>
  <si>
    <t>https://www.eia.gov/state/seds/sep_use/notes/use_technotes.pdf</t>
  </si>
  <si>
    <t>Pg 5 - Introduction</t>
  </si>
  <si>
    <t>Transportation sector bullet states - "Vehicles whose primary purpose is not transportation (e.g., construction cranes and bulldozers, farming vehicles, and warehouse tractors and forklifts) are classified in the sector of their primary use."</t>
  </si>
  <si>
    <t>Industrial sector definition includes - NAICS 11 (Ag, forestry, fishing, and hunting), NAICS 21 (Mining), NAICS 22 (Construction), and NAICS 31-33 (Manufatcuring)</t>
  </si>
  <si>
    <t>Industrial sector includes generators that produce electricity and/or useful thermal output primarily to support industrial activities.</t>
  </si>
  <si>
    <t>Distillate Fuel (Pg 36-37)</t>
  </si>
  <si>
    <t xml:space="preserve">The industrial sector sales (DFINPZZ) are the sum of the data series for industrial heating and farm use (DFIBPZZ), oil company use (DFOCPZZ), off-highway use (DFOFPZZ), and all other uses (DFOTPZZ). </t>
  </si>
  <si>
    <t>The transportation sector sales (DFTRPZZ) are the sum of the data series for vessel bunkering (DFBKPZZ), military use (DFMIPZZ), railroad use (DFRRPZZ), and the diesel fuel used on-highway (DFONPZZ).</t>
  </si>
  <si>
    <r>
      <rPr>
        <b/>
        <sz val="11"/>
        <color rgb="FFFF0000"/>
        <rFont val="Aptos Narrow"/>
        <family val="2"/>
        <scheme val="minor"/>
      </rPr>
      <t>DFINPZZ</t>
    </r>
    <r>
      <rPr>
        <sz val="11"/>
        <color theme="1"/>
        <rFont val="Aptos Narrow"/>
        <family val="2"/>
        <scheme val="minor"/>
      </rPr>
      <t xml:space="preserve"> = DFIBPZZ + DFOCPZZ + DFOFPZZ + DFOTPZZ </t>
    </r>
  </si>
  <si>
    <t>DFIBPZZ = distillate fuel oil sales to industrial establishments for space heating and for other industrial use (i.e., for all uses to mines, smelters, plants engaged in producing manufactured products, in processing goods, and in assembling), including farm use;</t>
  </si>
  <si>
    <t>DFOCPZZ = distillate fuel oil sales for oil company use, including all fuel oil, crude oil, or acid sludge used as fuel at refineries, by pipelines, or in field operations;</t>
  </si>
  <si>
    <t>DFOFPZZ = distillate fuel oil sales as diesel fuel for off-highway use in construction (i.e., earthmoving equipment, cranes, stationary generators, air compressors, etc.) and for off-highway uses other than construction (i.e., logging);</t>
  </si>
  <si>
    <t>DFOTPZZ = distillate fuel oil sales for all other uses not identified in other sales categories;</t>
  </si>
  <si>
    <t>Motor Gasoline (Pg 79-81)</t>
  </si>
  <si>
    <t>Industrial sector sales of motor gasoline in each state (MGINPZZ) are the sum of the sales for agricultural use, for construction use, and for industrial and commercial use</t>
  </si>
  <si>
    <r>
      <rPr>
        <b/>
        <sz val="11"/>
        <color rgb="FFFF0000"/>
        <rFont val="Aptos Narrow"/>
        <family val="2"/>
        <scheme val="minor"/>
      </rPr>
      <t>MGINPZZ</t>
    </r>
    <r>
      <rPr>
        <sz val="11"/>
        <color theme="1"/>
        <rFont val="Aptos Narrow"/>
        <family val="2"/>
        <scheme val="minor"/>
      </rPr>
      <t xml:space="preserve"> = MGAGPZZ + MGCUPZZ + MGIYPZZ</t>
    </r>
  </si>
  <si>
    <t>MGAGPZZ = motor gasoline sold for agricultural use in each state, in thousand gallons;</t>
  </si>
  <si>
    <t>MGCUPZZ = motor gasoline sold for construction use in each state, in thousand gallons;</t>
  </si>
  <si>
    <t>MGIYPZZ = motor gasoline sold for industrial and commercial use in each state, in thousand gallons;</t>
  </si>
  <si>
    <t>Does not include - highway-use, public non-highway, recreational, boating, lawn &amp; garden, and misc and unclassified</t>
  </si>
  <si>
    <t>Resolution - Reconcile (delete) nonroad emissions from Industrial fuel combustion sector. All traditional nonroad sources to be included under the transportation fuel combustion sector.</t>
  </si>
  <si>
    <t>Pre-reconciliation</t>
  </si>
  <si>
    <t>Nonroad CO2_MT</t>
  </si>
  <si>
    <t>Industrial CO2_MT</t>
  </si>
  <si>
    <t>NET Industrial_CO2_MT</t>
  </si>
  <si>
    <t>Also deducted NG emissions from the CHP facilities in the Utiities sector</t>
  </si>
  <si>
    <t>Also deducted commercial motor gasoline emissions from industrial as the SEDS data groups industrial and commercial gasoline quantity together</t>
  </si>
  <si>
    <t>Nonroad Diesel</t>
  </si>
  <si>
    <t>Zero emissions</t>
  </si>
  <si>
    <t>Nonroad CH4_MT</t>
  </si>
  <si>
    <t>Industrial CH4_MT</t>
  </si>
  <si>
    <t>NET Industrial_CH4_MT</t>
  </si>
  <si>
    <t>Excludes commercial diesel CH4 emissions</t>
  </si>
  <si>
    <t>Industrial Total, Pre</t>
  </si>
  <si>
    <t>Industrial Total, Post</t>
  </si>
  <si>
    <t>No change</t>
  </si>
  <si>
    <t>Nonroad Diesel - DO NOT EXCLUDE FROM IND</t>
  </si>
  <si>
    <t>Propane_CO2_MT</t>
  </si>
  <si>
    <t>Propane_CH4_MT</t>
  </si>
  <si>
    <t>LPG</t>
  </si>
  <si>
    <t>Industrial, pre</t>
  </si>
  <si>
    <t>Nonroad, LPG</t>
  </si>
  <si>
    <t xml:space="preserve">Propane consumed by the industrial sector = industrial odorized propane + industrial propane for chemical use.
</t>
  </si>
  <si>
    <t>industrial odorized propane consumption = total odorized propane sales - sum of (residential, commercial, and transportation sectors’ odorized propane consumption)</t>
  </si>
  <si>
    <t>No need to reconcile propane fuel with other energy sectors.</t>
  </si>
  <si>
    <t>Reconciliation:</t>
  </si>
  <si>
    <t xml:space="preserve">1) Deduct nonroad motor gasoline CO2 and CH4 emissions from industrial motor gasoline emissions. </t>
  </si>
  <si>
    <t xml:space="preserve">2) Deduct nonroad distilate CO2 and CH4 emissions from industrial distillate emissions. </t>
  </si>
  <si>
    <t>3) Deduct commercial motor gasoline CO2 and CH4 emissions from industrial motor gasoline emissions.</t>
  </si>
  <si>
    <t>yearid</t>
  </si>
  <si>
    <t>stateid</t>
  </si>
  <si>
    <t>pollutantid</t>
  </si>
  <si>
    <t>fueltypeid</t>
  </si>
  <si>
    <t>fuel</t>
  </si>
  <si>
    <t>sectorid</t>
  </si>
  <si>
    <t>co2_inv</t>
  </si>
  <si>
    <t>inv_units</t>
  </si>
  <si>
    <t>co2_mmt</t>
  </si>
  <si>
    <t>grams</t>
  </si>
  <si>
    <t>CNG</t>
  </si>
  <si>
    <t>Marine Diesel</t>
  </si>
  <si>
    <t>Nonroad Emissions Results CH4</t>
  </si>
  <si>
    <t>Nonroad Emissions Results CO2</t>
  </si>
  <si>
    <t>ch4_inv</t>
  </si>
  <si>
    <t>ch4_mmt</t>
  </si>
  <si>
    <t>See supporting sheet: Nonroad Adjustment</t>
  </si>
  <si>
    <t>Industry: Oil and Gas Production</t>
  </si>
  <si>
    <t>Industry: Industrial Fuel Combusion</t>
  </si>
  <si>
    <t>Data for Chart:</t>
  </si>
  <si>
    <r>
      <t>SF</t>
    </r>
    <r>
      <rPr>
        <vertAlign val="subscript"/>
        <sz val="11"/>
        <color theme="1"/>
        <rFont val="Aptos Narrow"/>
        <family val="2"/>
        <scheme val="minor"/>
      </rPr>
      <t>6</t>
    </r>
  </si>
  <si>
    <r>
      <t>NF</t>
    </r>
    <r>
      <rPr>
        <vertAlign val="subscript"/>
        <sz val="11"/>
        <color theme="1"/>
        <rFont val="Aptos Narrow"/>
        <family val="2"/>
        <scheme val="minor"/>
      </rPr>
      <t>3</t>
    </r>
  </si>
  <si>
    <t>Abandoned Mines</t>
  </si>
  <si>
    <t>Non-road vehicles and equipment</t>
  </si>
  <si>
    <t>Passenger cars</t>
  </si>
  <si>
    <t>Light-duty trucks</t>
  </si>
  <si>
    <t>Medium-heavy-duty trucks</t>
  </si>
  <si>
    <t>Vehicle Type</t>
  </si>
  <si>
    <t>On-road vehicles</t>
  </si>
  <si>
    <t>Other</t>
  </si>
  <si>
    <t>MWh</t>
  </si>
  <si>
    <t>IPCC 2019 (EFDB, #130759)</t>
  </si>
  <si>
    <t>SO2 EF (g/gal)</t>
  </si>
  <si>
    <t>Conversion Factor (g/ton)</t>
  </si>
  <si>
    <t>CO2 EF (kg/gal)</t>
  </si>
  <si>
    <t>Emissions (MMT CO2e)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</si>
</sst>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1">
    <numFmt numFmtId="41" formatCode="_(* #,##0_);_(* \(#,##0\);_(* &quot;-&quot;_);_(@_)"/>
    <numFmt numFmtId="43" formatCode="_(* #,##0.00_);_(* \(#,##0.00\);_(* &quot;-&quot;??_);_(@_)"/>
    <numFmt numFmtId="164" formatCode="0.0%"/>
    <numFmt numFmtId="165" formatCode="0.000"/>
    <numFmt numFmtId="166" formatCode="0.0"/>
    <numFmt numFmtId="167" formatCode="#,##0.000"/>
    <numFmt numFmtId="168" formatCode="#,##0.0000"/>
    <numFmt numFmtId="169" formatCode="#,##0.00000"/>
    <numFmt numFmtId="170" formatCode="#,##0.000000"/>
    <numFmt numFmtId="171" formatCode="#,##0.0"/>
    <numFmt numFmtId="172" formatCode="#,##0.0000000"/>
    <numFmt numFmtId="173" formatCode="#,##0.00000000"/>
    <numFmt numFmtId="174" formatCode="#,##0.000000000"/>
    <numFmt numFmtId="175" formatCode="_(* #,##0.0_);_(* \(#,##0.0\);_(* &quot;-&quot;??_);_(@_)"/>
    <numFmt numFmtId="176" formatCode="_(* #,##0_);_(* \(#,##0\);_(* &quot;-&quot;??_);_(@_)"/>
    <numFmt numFmtId="177" formatCode="_(* #,##0.000_);_(* \(#,##0.000\);_(* &quot;-&quot;??_);_(@_)"/>
    <numFmt numFmtId="178" formatCode="_(* #,##0.0000_);_(* \(#,##0.0000\);_(* &quot;-&quot;??_);_(@_)"/>
    <numFmt numFmtId="179" formatCode="_(* #,##0.00000_);_(* \(#,##0.00000\);_(* &quot;-&quot;??_);_(@_)"/>
    <numFmt numFmtId="180" formatCode="_(* #,##0.000000_);_(* \(#,##0.000000\);_(* &quot;-&quot;??_);_(@_)"/>
    <numFmt numFmtId="181" formatCode="0.000000"/>
    <numFmt numFmtId="182" formatCode="0.00000"/>
    <numFmt numFmtId="183" formatCode="0.0000"/>
    <numFmt numFmtId="184" formatCode="0.000000000"/>
    <numFmt numFmtId="185" formatCode="0.0000000"/>
    <numFmt numFmtId="186" formatCode="#,##0;\ \(#,##0\)"/>
    <numFmt numFmtId="187" formatCode="#,##0.000;\ \(#,##0.000\)"/>
    <numFmt numFmtId="188" formatCode="_(* #,##0.000000_);_(* \(#,##0.000000\);_(* &quot;-&quot;??????_);_(@_)"/>
    <numFmt numFmtId="189" formatCode="##############"/>
    <numFmt numFmtId="190" formatCode="#0.00000"/>
    <numFmt numFmtId="191" formatCode="#.0#############E+###"/>
    <numFmt numFmtId="192" formatCode="\+0%;\ \-0%"/>
  </numFmts>
  <fonts count="51" x14ac:knownFonts="1">
    <font>
      <sz val="11"/>
      <color theme="1"/>
      <name val="Aptos Narrow"/>
      <family val="2"/>
      <scheme val="minor"/>
    </font>
    <font>
      <b/>
      <sz val="11"/>
      <color theme="1"/>
      <name val="Aptos Narrow"/>
      <family val="2"/>
      <scheme val="minor"/>
    </font>
    <font>
      <sz val="10"/>
      <name val="Arial"/>
      <family val="2"/>
    </font>
    <font>
      <sz val="11"/>
      <name val="Aptos Narrow"/>
      <family val="2"/>
      <scheme val="minor"/>
    </font>
    <font>
      <sz val="9"/>
      <color indexed="81"/>
      <name val="Tahoma"/>
      <family val="2"/>
    </font>
    <font>
      <b/>
      <sz val="9"/>
      <color indexed="81"/>
      <name val="Tahoma"/>
      <family val="2"/>
    </font>
    <font>
      <sz val="11"/>
      <color theme="1"/>
      <name val="Aptos Narrow"/>
      <family val="2"/>
      <scheme val="minor"/>
    </font>
    <font>
      <b/>
      <i/>
      <sz val="11"/>
      <color theme="1"/>
      <name val="Aptos Narrow"/>
      <family val="2"/>
      <scheme val="minor"/>
    </font>
    <font>
      <u/>
      <sz val="10"/>
      <color indexed="12"/>
      <name val="Arial"/>
      <family val="2"/>
    </font>
    <font>
      <sz val="11"/>
      <color theme="0" tint="-4.9989318521683403E-2"/>
      <name val="Aptos Narrow"/>
      <family val="2"/>
      <scheme val="minor"/>
    </font>
    <font>
      <b/>
      <i/>
      <u/>
      <sz val="11"/>
      <color rgb="FFFF0000"/>
      <name val="Aptos Narrow"/>
      <family val="2"/>
      <scheme val="minor"/>
    </font>
    <font>
      <i/>
      <sz val="11"/>
      <color theme="1"/>
      <name val="Aptos Narrow"/>
      <family val="2"/>
      <scheme val="minor"/>
    </font>
    <font>
      <sz val="11"/>
      <color rgb="FFFF0000"/>
      <name val="Aptos Narrow"/>
      <family val="2"/>
      <scheme val="minor"/>
    </font>
    <font>
      <b/>
      <sz val="10"/>
      <color theme="1"/>
      <name val="Aptos Narrow"/>
      <family val="2"/>
      <scheme val="minor"/>
    </font>
    <font>
      <i/>
      <sz val="11"/>
      <color theme="1" tint="0.34998626667073579"/>
      <name val="Aptos Narrow"/>
      <family val="2"/>
      <scheme val="minor"/>
    </font>
    <font>
      <b/>
      <u/>
      <sz val="11"/>
      <color theme="1"/>
      <name val="Aptos Narrow"/>
      <family val="2"/>
      <scheme val="minor"/>
    </font>
    <font>
      <b/>
      <u/>
      <sz val="12"/>
      <color theme="1"/>
      <name val="Aptos Narrow"/>
      <family val="2"/>
      <scheme val="minor"/>
    </font>
    <font>
      <b/>
      <u/>
      <sz val="14"/>
      <color theme="1"/>
      <name val="Aptos Narrow"/>
      <family val="2"/>
      <scheme val="minor"/>
    </font>
    <font>
      <sz val="8"/>
      <color theme="1"/>
      <name val="Aptos Narrow"/>
      <family val="2"/>
      <scheme val="minor"/>
    </font>
    <font>
      <sz val="9"/>
      <color theme="1"/>
      <name val="Aptos Narrow"/>
      <family val="2"/>
      <scheme val="minor"/>
    </font>
    <font>
      <sz val="10"/>
      <color theme="1"/>
      <name val="Aptos Narrow"/>
      <family val="2"/>
      <scheme val="minor"/>
    </font>
    <font>
      <b/>
      <sz val="11"/>
      <color rgb="FF242424"/>
      <name val="Aptos Narrow"/>
      <family val="2"/>
    </font>
    <font>
      <b/>
      <sz val="8"/>
      <color rgb="FF242424"/>
      <name val="Aptos Narrow"/>
      <family val="2"/>
    </font>
    <font>
      <sz val="11"/>
      <color rgb="FF000000"/>
      <name val="Aptos Narrow"/>
      <family val="2"/>
      <scheme val="minor"/>
    </font>
    <font>
      <sz val="8"/>
      <color rgb="FF000000"/>
      <name val="Aptos Narrow"/>
      <family val="2"/>
      <scheme val="minor"/>
    </font>
    <font>
      <b/>
      <sz val="8"/>
      <color theme="1"/>
      <name val="Aptos Narrow"/>
      <family val="2"/>
      <scheme val="minor"/>
    </font>
    <font>
      <vertAlign val="subscript"/>
      <sz val="11"/>
      <color theme="1"/>
      <name val="Aptos Narrow"/>
      <family val="2"/>
      <scheme val="minor"/>
    </font>
    <font>
      <u/>
      <sz val="11"/>
      <color theme="10"/>
      <name val="Aptos Narrow"/>
      <family val="2"/>
      <scheme val="minor"/>
    </font>
    <font>
      <u/>
      <sz val="9"/>
      <color theme="10"/>
      <name val="Aptos Narrow"/>
      <family val="2"/>
      <scheme val="minor"/>
    </font>
    <font>
      <b/>
      <sz val="16"/>
      <color theme="3"/>
      <name val="Aptos Narrow"/>
      <family val="2"/>
      <scheme val="minor"/>
    </font>
    <font>
      <sz val="9"/>
      <color theme="0" tint="-0.249977111117893"/>
      <name val="Aptos Narrow"/>
      <family val="2"/>
      <scheme val="minor"/>
    </font>
    <font>
      <b/>
      <sz val="11"/>
      <name val="Aptos Narrow"/>
      <family val="2"/>
      <scheme val="minor"/>
    </font>
    <font>
      <b/>
      <vertAlign val="subscript"/>
      <sz val="11"/>
      <color theme="1"/>
      <name val="Aptos Narrow"/>
      <family val="2"/>
      <scheme val="minor"/>
    </font>
    <font>
      <b/>
      <sz val="12"/>
      <name val="Aptos Narrow"/>
      <family val="2"/>
      <scheme val="minor"/>
    </font>
    <font>
      <i/>
      <sz val="11"/>
      <name val="Aptos Narrow"/>
      <family val="2"/>
      <scheme val="minor"/>
    </font>
    <font>
      <vertAlign val="subscript"/>
      <sz val="11"/>
      <name val="Aptos Narrow"/>
      <family val="2"/>
      <scheme val="minor"/>
    </font>
    <font>
      <sz val="8"/>
      <name val="Arial"/>
      <family val="2"/>
    </font>
    <font>
      <sz val="12"/>
      <name val="Aptos Narrow"/>
      <family val="2"/>
      <scheme val="minor"/>
    </font>
    <font>
      <vertAlign val="subscript"/>
      <sz val="12"/>
      <name val="Aptos Narrow"/>
      <family val="2"/>
      <scheme val="minor"/>
    </font>
    <font>
      <u/>
      <sz val="12"/>
      <color theme="1"/>
      <name val="Aptos Narrow"/>
      <family val="2"/>
      <scheme val="minor"/>
    </font>
    <font>
      <b/>
      <i/>
      <sz val="12"/>
      <color theme="1"/>
      <name val="Aptos Narrow"/>
      <family val="2"/>
      <scheme val="minor"/>
    </font>
    <font>
      <b/>
      <sz val="11"/>
      <color rgb="FFFF0000"/>
      <name val="Aptos Narrow"/>
      <family val="2"/>
      <scheme val="minor"/>
    </font>
    <font>
      <b/>
      <sz val="8.5"/>
      <color rgb="FF000000"/>
      <name val="Arial"/>
      <family val="2"/>
    </font>
    <font>
      <b/>
      <sz val="8.5"/>
      <color rgb="FFFFFFFF"/>
      <name val="Arial"/>
      <family val="2"/>
    </font>
    <font>
      <sz val="8.5"/>
      <color rgb="FF000000"/>
      <name val="Arial"/>
      <family val="2"/>
    </font>
    <font>
      <sz val="11"/>
      <color theme="1"/>
      <name val="Aptos Narrow"/>
      <family val="2"/>
    </font>
    <font>
      <vertAlign val="subscript"/>
      <sz val="11"/>
      <color rgb="FF000000"/>
      <name val="Aptos Narrow"/>
      <family val="2"/>
      <scheme val="minor"/>
    </font>
    <font>
      <sz val="11"/>
      <color rgb="FF196D27"/>
      <name val="Aptos Narrow"/>
      <family val="2"/>
      <scheme val="minor"/>
    </font>
    <font>
      <sz val="11"/>
      <color rgb="FF000000"/>
      <name val="Aptos Narrow"/>
      <family val="2"/>
      <scheme val="minor"/>
    </font>
    <font>
      <i/>
      <sz val="11"/>
      <name val="Aptos Narrow"/>
      <family val="2"/>
    </font>
    <font>
      <sz val="11"/>
      <name val="Aptos Narrow"/>
      <family val="2"/>
    </font>
  </fonts>
  <fills count="34">
    <fill>
      <patternFill patternType="none"/>
    </fill>
    <fill>
      <patternFill patternType="gray125"/>
    </fill>
    <fill>
      <patternFill patternType="solid">
        <fgColor theme="9" tint="0.7999816888943144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FFFF00"/>
        <bgColor indexed="64"/>
      </patternFill>
    </fill>
    <fill>
      <patternFill patternType="solid">
        <fgColor rgb="FFF2F2F2"/>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rgb="FFFAFCB3"/>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rgb="FFF2DCDB"/>
      </patternFill>
    </fill>
    <fill>
      <patternFill patternType="solid">
        <fgColor rgb="FFEBF1DE"/>
      </patternFill>
    </fill>
    <fill>
      <patternFill patternType="solid">
        <fgColor rgb="FFC4D79B"/>
      </patternFill>
    </fill>
    <fill>
      <patternFill patternType="solid">
        <fgColor rgb="FF76933C"/>
      </patternFill>
    </fill>
    <fill>
      <patternFill patternType="solid">
        <fgColor rgb="FFE6B8B7"/>
      </patternFill>
    </fill>
    <fill>
      <patternFill patternType="solid">
        <fgColor rgb="FFD58785"/>
      </patternFill>
    </fill>
    <fill>
      <patternFill patternType="solid">
        <fgColor rgb="FFDAEEF3"/>
      </patternFill>
    </fill>
    <fill>
      <patternFill patternType="solid">
        <fgColor rgb="FF92CDDC"/>
      </patternFill>
    </fill>
    <fill>
      <patternFill patternType="solid">
        <fgColor rgb="FF3DA2BD"/>
      </patternFill>
    </fill>
    <fill>
      <patternFill patternType="solid">
        <fgColor rgb="FF31869B"/>
      </patternFill>
    </fill>
    <fill>
      <patternFill patternType="solid">
        <fgColor rgb="FFFDE9D9"/>
      </patternFill>
    </fill>
    <fill>
      <patternFill patternType="solid">
        <fgColor rgb="FFFABF8F"/>
      </patternFill>
    </fill>
    <fill>
      <patternFill patternType="solid">
        <fgColor rgb="FFF6903C"/>
      </patternFill>
    </fill>
    <fill>
      <patternFill patternType="solid">
        <fgColor rgb="FFE26B0A"/>
      </patternFill>
    </fill>
    <fill>
      <patternFill patternType="solid">
        <fgColor theme="4" tint="0.59999389629810485"/>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double">
        <color indexed="64"/>
      </bottom>
      <diagonal/>
    </border>
    <border>
      <left style="thin">
        <color rgb="FF000000"/>
      </left>
      <right style="thin">
        <color rgb="FF000000"/>
      </right>
      <top style="medium">
        <color indexed="64"/>
      </top>
      <bottom style="double">
        <color indexed="64"/>
      </bottom>
      <diagonal/>
    </border>
    <border>
      <left style="thin">
        <color rgb="FF000000"/>
      </left>
      <right style="medium">
        <color rgb="FF000000"/>
      </right>
      <top style="medium">
        <color indexed="64"/>
      </top>
      <bottom style="double">
        <color indexed="64"/>
      </bottom>
      <diagonal/>
    </border>
    <border>
      <left style="thin">
        <color rgb="FF000000"/>
      </left>
      <right style="medium">
        <color indexed="64"/>
      </right>
      <top style="medium">
        <color indexed="64"/>
      </top>
      <bottom style="double">
        <color indexed="64"/>
      </bottom>
      <diagonal/>
    </border>
    <border>
      <left style="medium">
        <color indexed="64"/>
      </left>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indexed="64"/>
      </right>
      <top/>
      <bottom style="thin">
        <color rgb="FF000000"/>
      </bottom>
      <diagonal/>
    </border>
    <border>
      <left style="medium">
        <color indexed="64"/>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medium">
        <color rgb="FF000000"/>
      </left>
      <right style="medium">
        <color indexed="64"/>
      </right>
      <top style="thin">
        <color rgb="FF000000"/>
      </top>
      <bottom style="medium">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double">
        <color indexed="64"/>
      </top>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double">
        <color indexed="64"/>
      </bottom>
      <diagonal/>
    </border>
  </borders>
  <cellStyleXfs count="9">
    <xf numFmtId="0" fontId="0" fillId="0" borderId="0"/>
    <xf numFmtId="43" fontId="6" fillId="0" borderId="0" applyFont="0" applyFill="0" applyBorder="0" applyAlignment="0" applyProtection="0"/>
    <xf numFmtId="9" fontId="6" fillId="0" borderId="0" applyFont="0" applyFill="0" applyBorder="0" applyAlignment="0" applyProtection="0"/>
    <xf numFmtId="0" fontId="2" fillId="0" borderId="0"/>
    <xf numFmtId="0" fontId="8" fillId="0" borderId="0" applyNumberFormat="0" applyFill="0" applyBorder="0" applyAlignment="0" applyProtection="0">
      <alignment vertical="top"/>
      <protection locked="0"/>
    </xf>
    <xf numFmtId="0" fontId="27" fillId="0" borderId="0" applyNumberFormat="0" applyFill="0" applyBorder="0" applyAlignment="0" applyProtection="0"/>
    <xf numFmtId="0" fontId="2" fillId="0" borderId="0" applyBorder="0"/>
    <xf numFmtId="43" fontId="6" fillId="0" borderId="0" applyFont="0" applyFill="0" applyBorder="0" applyAlignment="0" applyProtection="0"/>
    <xf numFmtId="0" fontId="36" fillId="0" borderId="0"/>
  </cellStyleXfs>
  <cellXfs count="435">
    <xf numFmtId="0" fontId="0" fillId="0" borderId="0" xfId="0"/>
    <xf numFmtId="0" fontId="1" fillId="0" borderId="0" xfId="0" applyFont="1"/>
    <xf numFmtId="0" fontId="0" fillId="0" borderId="1" xfId="0" applyBorder="1"/>
    <xf numFmtId="0" fontId="0" fillId="0" borderId="0" xfId="0" applyAlignment="1">
      <alignment wrapText="1"/>
    </xf>
    <xf numFmtId="0" fontId="7" fillId="0" borderId="0" xfId="0" applyFont="1"/>
    <xf numFmtId="9" fontId="0" fillId="0" borderId="0" xfId="2" applyFont="1"/>
    <xf numFmtId="164" fontId="0" fillId="0" borderId="0" xfId="2" applyNumberFormat="1" applyFont="1"/>
    <xf numFmtId="4" fontId="0" fillId="0" borderId="0" xfId="0" applyNumberFormat="1"/>
    <xf numFmtId="3" fontId="0" fillId="0" borderId="0" xfId="0" applyNumberFormat="1"/>
    <xf numFmtId="0" fontId="1" fillId="2" borderId="0" xfId="0" applyFont="1" applyFill="1"/>
    <xf numFmtId="0" fontId="1" fillId="0" borderId="1" xfId="0" applyFont="1" applyBorder="1"/>
    <xf numFmtId="0" fontId="1" fillId="2" borderId="1" xfId="0" applyFont="1" applyFill="1" applyBorder="1"/>
    <xf numFmtId="3" fontId="0" fillId="0" borderId="1" xfId="0" applyNumberFormat="1" applyBorder="1"/>
    <xf numFmtId="3" fontId="0" fillId="2" borderId="1" xfId="0" applyNumberFormat="1" applyFill="1" applyBorder="1"/>
    <xf numFmtId="43" fontId="0" fillId="0" borderId="1" xfId="1" applyFont="1" applyBorder="1"/>
    <xf numFmtId="165" fontId="0" fillId="0" borderId="0" xfId="0" applyNumberFormat="1"/>
    <xf numFmtId="2" fontId="0" fillId="0" borderId="0" xfId="0" applyNumberFormat="1"/>
    <xf numFmtId="166" fontId="0" fillId="0" borderId="0" xfId="0" applyNumberFormat="1"/>
    <xf numFmtId="0" fontId="0" fillId="2" borderId="1" xfId="0" applyFill="1" applyBorder="1"/>
    <xf numFmtId="0" fontId="0" fillId="2" borderId="0" xfId="0" applyFill="1" applyAlignment="1">
      <alignment wrapText="1"/>
    </xf>
    <xf numFmtId="0" fontId="0" fillId="2" borderId="0" xfId="0" applyFill="1"/>
    <xf numFmtId="0" fontId="9" fillId="3" borderId="1" xfId="0" applyFont="1" applyFill="1" applyBorder="1"/>
    <xf numFmtId="3" fontId="9" fillId="3" borderId="1" xfId="0" applyNumberFormat="1" applyFont="1" applyFill="1" applyBorder="1"/>
    <xf numFmtId="4" fontId="1" fillId="0" borderId="0" xfId="0" applyNumberFormat="1" applyFont="1"/>
    <xf numFmtId="168" fontId="1" fillId="0" borderId="0" xfId="0" applyNumberFormat="1" applyFont="1"/>
    <xf numFmtId="169" fontId="1" fillId="0" borderId="0" xfId="0" applyNumberFormat="1" applyFont="1"/>
    <xf numFmtId="3" fontId="1" fillId="0" borderId="0" xfId="0" applyNumberFormat="1" applyFont="1"/>
    <xf numFmtId="171" fontId="0" fillId="0" borderId="0" xfId="0" applyNumberFormat="1"/>
    <xf numFmtId="0" fontId="0" fillId="0" borderId="1" xfId="0" applyBorder="1" applyAlignment="1">
      <alignment wrapText="1"/>
    </xf>
    <xf numFmtId="0" fontId="1" fillId="0" borderId="1" xfId="0" applyFont="1" applyBorder="1" applyAlignment="1">
      <alignment wrapText="1"/>
    </xf>
    <xf numFmtId="3" fontId="0" fillId="0" borderId="1" xfId="0" applyNumberFormat="1" applyBorder="1" applyAlignment="1">
      <alignment wrapText="1"/>
    </xf>
    <xf numFmtId="0" fontId="0" fillId="3" borderId="0" xfId="0" applyFill="1"/>
    <xf numFmtId="0" fontId="1" fillId="3" borderId="0" xfId="0" applyFont="1" applyFill="1"/>
    <xf numFmtId="9" fontId="0" fillId="3" borderId="0" xfId="0" applyNumberFormat="1" applyFill="1"/>
    <xf numFmtId="164" fontId="0" fillId="3" borderId="0" xfId="2" applyNumberFormat="1" applyFont="1" applyFill="1"/>
    <xf numFmtId="43" fontId="0" fillId="3" borderId="0" xfId="1" applyFont="1" applyFill="1"/>
    <xf numFmtId="9" fontId="0" fillId="0" borderId="0" xfId="2" applyFont="1" applyFill="1"/>
    <xf numFmtId="164" fontId="0" fillId="0" borderId="0" xfId="2" applyNumberFormat="1" applyFont="1" applyFill="1"/>
    <xf numFmtId="164" fontId="0" fillId="0" borderId="1" xfId="2" applyNumberFormat="1" applyFont="1" applyFill="1" applyBorder="1"/>
    <xf numFmtId="9" fontId="0" fillId="0" borderId="1" xfId="2" applyFont="1" applyFill="1" applyBorder="1"/>
    <xf numFmtId="43" fontId="0" fillId="0" borderId="1" xfId="1" applyFont="1" applyFill="1" applyBorder="1"/>
    <xf numFmtId="4" fontId="0" fillId="0" borderId="1" xfId="0" applyNumberFormat="1" applyBorder="1"/>
    <xf numFmtId="169" fontId="0" fillId="0" borderId="1" xfId="0" applyNumberFormat="1" applyBorder="1"/>
    <xf numFmtId="170" fontId="0" fillId="0" borderId="1" xfId="0" applyNumberFormat="1" applyBorder="1"/>
    <xf numFmtId="172" fontId="0" fillId="0" borderId="1" xfId="0" applyNumberFormat="1" applyBorder="1"/>
    <xf numFmtId="171" fontId="0" fillId="0" borderId="1" xfId="0" applyNumberFormat="1" applyBorder="1"/>
    <xf numFmtId="168" fontId="0" fillId="0" borderId="1" xfId="0" applyNumberFormat="1" applyBorder="1"/>
    <xf numFmtId="173" fontId="0" fillId="0" borderId="1" xfId="0" applyNumberFormat="1" applyBorder="1"/>
    <xf numFmtId="174" fontId="0" fillId="0" borderId="1" xfId="0" applyNumberFormat="1" applyBorder="1"/>
    <xf numFmtId="167" fontId="0" fillId="0" borderId="1" xfId="0" applyNumberFormat="1" applyBorder="1"/>
    <xf numFmtId="0" fontId="3" fillId="0" borderId="1" xfId="0" applyFont="1" applyBorder="1"/>
    <xf numFmtId="3" fontId="3" fillId="0" borderId="1" xfId="0" applyNumberFormat="1" applyFont="1" applyBorder="1"/>
    <xf numFmtId="0" fontId="0" fillId="4" borderId="1" xfId="0" applyFill="1" applyBorder="1"/>
    <xf numFmtId="0" fontId="9" fillId="4" borderId="1" xfId="0" applyFont="1" applyFill="1" applyBorder="1"/>
    <xf numFmtId="3" fontId="9" fillId="4" borderId="1" xfId="0" applyNumberFormat="1" applyFont="1" applyFill="1" applyBorder="1"/>
    <xf numFmtId="4" fontId="9" fillId="4" borderId="1" xfId="0" applyNumberFormat="1" applyFont="1" applyFill="1" applyBorder="1"/>
    <xf numFmtId="169" fontId="9" fillId="4" borderId="1" xfId="0" applyNumberFormat="1" applyFont="1" applyFill="1" applyBorder="1"/>
    <xf numFmtId="170" fontId="9" fillId="4" borderId="1" xfId="0" applyNumberFormat="1" applyFont="1" applyFill="1" applyBorder="1"/>
    <xf numFmtId="0" fontId="9" fillId="4" borderId="0" xfId="0" applyFont="1" applyFill="1"/>
    <xf numFmtId="0" fontId="11" fillId="0" borderId="0" xfId="0" applyFont="1"/>
    <xf numFmtId="176" fontId="0" fillId="2" borderId="1" xfId="1" applyNumberFormat="1" applyFont="1" applyFill="1" applyBorder="1"/>
    <xf numFmtId="43" fontId="0" fillId="2" borderId="1" xfId="0" applyNumberFormat="1" applyFill="1" applyBorder="1"/>
    <xf numFmtId="177" fontId="0" fillId="2" borderId="1" xfId="0" applyNumberFormat="1" applyFill="1" applyBorder="1"/>
    <xf numFmtId="43" fontId="0" fillId="2" borderId="1" xfId="1" applyFont="1" applyFill="1" applyBorder="1"/>
    <xf numFmtId="177" fontId="0" fillId="2" borderId="1" xfId="1" applyNumberFormat="1" applyFont="1" applyFill="1" applyBorder="1"/>
    <xf numFmtId="178" fontId="0" fillId="2" borderId="1" xfId="0" applyNumberFormat="1" applyFill="1" applyBorder="1"/>
    <xf numFmtId="180" fontId="0" fillId="2" borderId="1" xfId="0" applyNumberFormat="1" applyFill="1" applyBorder="1"/>
    <xf numFmtId="175" fontId="0" fillId="2" borderId="1" xfId="1" applyNumberFormat="1" applyFont="1" applyFill="1" applyBorder="1"/>
    <xf numFmtId="179" fontId="0" fillId="2" borderId="1" xfId="0" applyNumberFormat="1" applyFill="1" applyBorder="1"/>
    <xf numFmtId="176" fontId="1" fillId="2" borderId="1" xfId="0" applyNumberFormat="1" applyFont="1" applyFill="1" applyBorder="1"/>
    <xf numFmtId="43" fontId="1" fillId="2" borderId="1" xfId="0" applyNumberFormat="1" applyFont="1" applyFill="1" applyBorder="1"/>
    <xf numFmtId="43" fontId="0" fillId="0" borderId="0" xfId="0" applyNumberFormat="1"/>
    <xf numFmtId="176" fontId="12" fillId="5" borderId="1" xfId="1" applyNumberFormat="1" applyFont="1" applyFill="1" applyBorder="1"/>
    <xf numFmtId="0" fontId="0" fillId="0" borderId="2" xfId="0" applyBorder="1"/>
    <xf numFmtId="176" fontId="0" fillId="0" borderId="2" xfId="0" applyNumberFormat="1" applyBorder="1"/>
    <xf numFmtId="175" fontId="0" fillId="0" borderId="2" xfId="0" applyNumberFormat="1" applyBorder="1"/>
    <xf numFmtId="43" fontId="0" fillId="0" borderId="2" xfId="0" applyNumberFormat="1" applyBorder="1"/>
    <xf numFmtId="3" fontId="0" fillId="0" borderId="0" xfId="0" applyNumberFormat="1" applyAlignment="1">
      <alignment horizontal="right"/>
    </xf>
    <xf numFmtId="168" fontId="0" fillId="0" borderId="0" xfId="0" applyNumberFormat="1"/>
    <xf numFmtId="0" fontId="0" fillId="0" borderId="0" xfId="0" applyAlignment="1">
      <alignment horizontal="right"/>
    </xf>
    <xf numFmtId="169" fontId="0" fillId="0" borderId="0" xfId="0" applyNumberFormat="1"/>
    <xf numFmtId="0" fontId="0" fillId="5" borderId="0" xfId="0" applyFill="1"/>
    <xf numFmtId="0" fontId="1" fillId="2" borderId="1" xfId="0" applyFont="1" applyFill="1" applyBorder="1" applyAlignment="1">
      <alignment wrapText="1"/>
    </xf>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3" fontId="0" fillId="2" borderId="0" xfId="0" applyNumberFormat="1" applyFill="1"/>
    <xf numFmtId="3" fontId="0" fillId="2" borderId="7" xfId="0" applyNumberFormat="1" applyFill="1" applyBorder="1"/>
    <xf numFmtId="0" fontId="0" fillId="2" borderId="8" xfId="0" applyFill="1" applyBorder="1"/>
    <xf numFmtId="3" fontId="0" fillId="2" borderId="9" xfId="0" applyNumberFormat="1" applyFill="1" applyBorder="1"/>
    <xf numFmtId="3" fontId="0" fillId="2" borderId="10" xfId="0" applyNumberFormat="1" applyFill="1" applyBorder="1"/>
    <xf numFmtId="0" fontId="13" fillId="0" borderId="0" xfId="0" applyFont="1" applyAlignment="1">
      <alignment vertical="top" wrapText="1"/>
    </xf>
    <xf numFmtId="171" fontId="0" fillId="2" borderId="5" xfId="0" applyNumberFormat="1" applyFill="1" applyBorder="1"/>
    <xf numFmtId="171" fontId="0" fillId="2" borderId="7" xfId="0" applyNumberFormat="1" applyFill="1" applyBorder="1"/>
    <xf numFmtId="171" fontId="0" fillId="2" borderId="10" xfId="0" applyNumberFormat="1" applyFill="1" applyBorder="1"/>
    <xf numFmtId="0" fontId="0" fillId="0" borderId="9" xfId="0" applyBorder="1"/>
    <xf numFmtId="171" fontId="0" fillId="2" borderId="9" xfId="0" applyNumberFormat="1" applyFill="1" applyBorder="1"/>
    <xf numFmtId="0" fontId="0" fillId="2" borderId="10" xfId="0" applyFill="1" applyBorder="1"/>
    <xf numFmtId="0" fontId="14" fillId="0" borderId="0" xfId="0" applyFont="1"/>
    <xf numFmtId="176" fontId="0" fillId="0" borderId="0" xfId="0" applyNumberFormat="1"/>
    <xf numFmtId="0" fontId="17" fillId="0" borderId="0" xfId="0" applyFont="1"/>
    <xf numFmtId="0" fontId="1" fillId="7" borderId="11" xfId="0" applyFont="1" applyFill="1" applyBorder="1"/>
    <xf numFmtId="0" fontId="1" fillId="7" borderId="12" xfId="0" applyFont="1" applyFill="1" applyBorder="1"/>
    <xf numFmtId="0" fontId="1" fillId="0" borderId="12" xfId="0" applyFont="1" applyBorder="1"/>
    <xf numFmtId="0" fontId="1" fillId="7" borderId="13" xfId="0" applyFont="1" applyFill="1" applyBorder="1"/>
    <xf numFmtId="0" fontId="0" fillId="7" borderId="14" xfId="0" applyFill="1" applyBorder="1"/>
    <xf numFmtId="0" fontId="0" fillId="7" borderId="1" xfId="0" applyFill="1" applyBorder="1"/>
    <xf numFmtId="165" fontId="0" fillId="0" borderId="1" xfId="0" applyNumberFormat="1" applyBorder="1"/>
    <xf numFmtId="165" fontId="0" fillId="7" borderId="15" xfId="0" applyNumberFormat="1" applyFill="1" applyBorder="1"/>
    <xf numFmtId="43" fontId="0" fillId="0" borderId="0" xfId="1" applyFont="1"/>
    <xf numFmtId="2" fontId="0" fillId="0" borderId="1" xfId="0" applyNumberFormat="1" applyBorder="1"/>
    <xf numFmtId="2" fontId="0" fillId="7" borderId="15" xfId="0" applyNumberFormat="1" applyFill="1" applyBorder="1"/>
    <xf numFmtId="166" fontId="0" fillId="0" borderId="1" xfId="0" applyNumberFormat="1" applyBorder="1"/>
    <xf numFmtId="166" fontId="0" fillId="7" borderId="15" xfId="0" applyNumberFormat="1" applyFill="1" applyBorder="1"/>
    <xf numFmtId="181" fontId="0" fillId="0" borderId="1" xfId="0" applyNumberFormat="1" applyBorder="1"/>
    <xf numFmtId="181" fontId="0" fillId="7" borderId="15" xfId="0" applyNumberFormat="1" applyFill="1" applyBorder="1"/>
    <xf numFmtId="182" fontId="0" fillId="0" borderId="1" xfId="0" applyNumberFormat="1" applyBorder="1"/>
    <xf numFmtId="182" fontId="0" fillId="7" borderId="15" xfId="0" applyNumberFormat="1" applyFill="1" applyBorder="1"/>
    <xf numFmtId="183" fontId="0" fillId="0" borderId="1" xfId="0" applyNumberFormat="1" applyBorder="1"/>
    <xf numFmtId="183" fontId="0" fillId="7" borderId="15" xfId="0" applyNumberFormat="1" applyFill="1" applyBorder="1"/>
    <xf numFmtId="0" fontId="0" fillId="7" borderId="16" xfId="0" applyFill="1" applyBorder="1"/>
    <xf numFmtId="0" fontId="0" fillId="7" borderId="17" xfId="0" applyFill="1" applyBorder="1"/>
    <xf numFmtId="2" fontId="0" fillId="0" borderId="17" xfId="0" applyNumberFormat="1" applyBorder="1"/>
    <xf numFmtId="165" fontId="0" fillId="0" borderId="17" xfId="0" applyNumberFormat="1" applyBorder="1"/>
    <xf numFmtId="2" fontId="0" fillId="7" borderId="18" xfId="0" applyNumberFormat="1" applyFill="1" applyBorder="1"/>
    <xf numFmtId="0" fontId="1" fillId="7" borderId="19" xfId="0" applyFont="1" applyFill="1" applyBorder="1"/>
    <xf numFmtId="0" fontId="0" fillId="7" borderId="20" xfId="0" applyFill="1" applyBorder="1"/>
    <xf numFmtId="2" fontId="1" fillId="0" borderId="21" xfId="0" applyNumberFormat="1" applyFont="1" applyBorder="1"/>
    <xf numFmtId="166" fontId="1" fillId="0" borderId="21" xfId="0" applyNumberFormat="1" applyFont="1" applyBorder="1"/>
    <xf numFmtId="0" fontId="0" fillId="0" borderId="20" xfId="0" applyBorder="1"/>
    <xf numFmtId="0" fontId="1" fillId="0" borderId="11" xfId="0" applyFont="1" applyBorder="1"/>
    <xf numFmtId="0" fontId="0" fillId="0" borderId="12" xfId="0" applyBorder="1"/>
    <xf numFmtId="0" fontId="0" fillId="0" borderId="13" xfId="0" applyBorder="1"/>
    <xf numFmtId="0" fontId="0" fillId="0" borderId="14" xfId="0" applyBorder="1"/>
    <xf numFmtId="4" fontId="0" fillId="0" borderId="15" xfId="0" applyNumberFormat="1" applyBorder="1"/>
    <xf numFmtId="0" fontId="0" fillId="0" borderId="23" xfId="0" applyBorder="1"/>
    <xf numFmtId="171" fontId="1" fillId="0" borderId="24" xfId="0" applyNumberFormat="1" applyFont="1" applyBorder="1"/>
    <xf numFmtId="0" fontId="1" fillId="5" borderId="0" xfId="0" applyFont="1" applyFill="1"/>
    <xf numFmtId="3" fontId="0" fillId="8" borderId="0" xfId="0" applyNumberFormat="1" applyFill="1"/>
    <xf numFmtId="0" fontId="0" fillId="0" borderId="0" xfId="0" applyAlignment="1">
      <alignment horizontal="left"/>
    </xf>
    <xf numFmtId="0" fontId="0" fillId="0" borderId="0" xfId="0" applyAlignment="1">
      <alignment horizontal="center"/>
    </xf>
    <xf numFmtId="166" fontId="0" fillId="9" borderId="1" xfId="0" applyNumberFormat="1" applyFill="1" applyBorder="1" applyAlignment="1">
      <alignment horizontal="center"/>
    </xf>
    <xf numFmtId="0" fontId="0" fillId="9" borderId="1" xfId="0" applyFill="1" applyBorder="1"/>
    <xf numFmtId="0" fontId="1" fillId="0" borderId="13" xfId="0" applyFont="1" applyBorder="1"/>
    <xf numFmtId="0" fontId="0" fillId="0" borderId="15" xfId="0" applyBorder="1"/>
    <xf numFmtId="0" fontId="1" fillId="0" borderId="23" xfId="0" applyFont="1" applyBorder="1"/>
    <xf numFmtId="4" fontId="1" fillId="0" borderId="24" xfId="0" applyNumberFormat="1" applyFont="1" applyBorder="1"/>
    <xf numFmtId="2" fontId="1" fillId="0" borderId="0" xfId="0" applyNumberFormat="1" applyFont="1"/>
    <xf numFmtId="0" fontId="1" fillId="10" borderId="0" xfId="0" applyFont="1" applyFill="1"/>
    <xf numFmtId="0" fontId="6" fillId="10" borderId="0" xfId="0" applyFont="1" applyFill="1"/>
    <xf numFmtId="0" fontId="6" fillId="0" borderId="0" xfId="0" applyFont="1"/>
    <xf numFmtId="0" fontId="11" fillId="11" borderId="26" xfId="0" applyFont="1" applyFill="1" applyBorder="1"/>
    <xf numFmtId="0" fontId="0" fillId="11" borderId="27" xfId="0" applyFill="1" applyBorder="1" applyAlignment="1">
      <alignment horizontal="center" vertical="center"/>
    </xf>
    <xf numFmtId="0" fontId="0" fillId="11" borderId="28" xfId="0" applyFill="1" applyBorder="1" applyAlignment="1">
      <alignment horizontal="center" wrapText="1"/>
    </xf>
    <xf numFmtId="0" fontId="6" fillId="11" borderId="30" xfId="0" applyFont="1" applyFill="1" applyBorder="1"/>
    <xf numFmtId="0" fontId="6" fillId="0" borderId="31" xfId="0" applyFont="1" applyBorder="1" applyAlignment="1">
      <alignment horizontal="center"/>
    </xf>
    <xf numFmtId="0" fontId="6" fillId="0" borderId="32" xfId="0" applyFont="1" applyBorder="1" applyAlignment="1">
      <alignment horizontal="center" vertical="center"/>
    </xf>
    <xf numFmtId="11" fontId="6" fillId="0" borderId="32" xfId="0" applyNumberFormat="1" applyFont="1" applyBorder="1" applyAlignment="1">
      <alignment horizontal="center"/>
    </xf>
    <xf numFmtId="184" fontId="6" fillId="12" borderId="33" xfId="0" applyNumberFormat="1" applyFont="1" applyFill="1" applyBorder="1" applyAlignment="1">
      <alignment horizontal="center"/>
    </xf>
    <xf numFmtId="0" fontId="6" fillId="13" borderId="34" xfId="0" applyFont="1" applyFill="1" applyBorder="1" applyAlignment="1">
      <alignment horizontal="center"/>
    </xf>
    <xf numFmtId="0" fontId="6" fillId="11" borderId="35" xfId="0" applyFont="1" applyFill="1" applyBorder="1"/>
    <xf numFmtId="0" fontId="6" fillId="0" borderId="36" xfId="0" applyFont="1" applyBorder="1" applyAlignment="1">
      <alignment horizontal="center"/>
    </xf>
    <xf numFmtId="0" fontId="6" fillId="0" borderId="37" xfId="0" applyFont="1" applyBorder="1" applyAlignment="1">
      <alignment horizontal="center" vertical="center"/>
    </xf>
    <xf numFmtId="0" fontId="6" fillId="0" borderId="37" xfId="0" applyFont="1" applyBorder="1" applyAlignment="1">
      <alignment horizontal="center"/>
    </xf>
    <xf numFmtId="184" fontId="6" fillId="12" borderId="38" xfId="0" applyNumberFormat="1" applyFont="1" applyFill="1" applyBorder="1" applyAlignment="1">
      <alignment horizontal="center"/>
    </xf>
    <xf numFmtId="0" fontId="6" fillId="13" borderId="39" xfId="0" applyFont="1" applyFill="1" applyBorder="1" applyAlignment="1">
      <alignment horizontal="center"/>
    </xf>
    <xf numFmtId="11" fontId="6" fillId="0" borderId="37" xfId="0" applyNumberFormat="1" applyFont="1" applyBorder="1" applyAlignment="1">
      <alignment horizontal="center"/>
    </xf>
    <xf numFmtId="185" fontId="6" fillId="0" borderId="37" xfId="0" applyNumberFormat="1" applyFont="1" applyBorder="1" applyAlignment="1">
      <alignment horizontal="center" vertical="center"/>
    </xf>
    <xf numFmtId="0" fontId="6" fillId="0" borderId="36" xfId="0" applyFont="1" applyBorder="1" applyAlignment="1">
      <alignment horizontal="center" vertical="center"/>
    </xf>
    <xf numFmtId="0" fontId="6" fillId="12" borderId="38" xfId="0" applyFont="1" applyFill="1" applyBorder="1" applyAlignment="1">
      <alignment horizontal="center"/>
    </xf>
    <xf numFmtId="2" fontId="6" fillId="0" borderId="37" xfId="0" applyNumberFormat="1" applyFont="1" applyBorder="1" applyAlignment="1">
      <alignment horizontal="center" vertical="center"/>
    </xf>
    <xf numFmtId="0" fontId="6" fillId="11" borderId="35" xfId="0" applyFont="1" applyFill="1" applyBorder="1" applyAlignment="1">
      <alignment wrapText="1"/>
    </xf>
    <xf numFmtId="0" fontId="6" fillId="12" borderId="36" xfId="0" applyFont="1" applyFill="1" applyBorder="1" applyAlignment="1">
      <alignment horizontal="center" vertical="center"/>
    </xf>
    <xf numFmtId="0" fontId="6" fillId="12" borderId="37" xfId="0" applyFont="1" applyFill="1" applyBorder="1" applyAlignment="1">
      <alignment horizontal="center" vertical="center"/>
    </xf>
    <xf numFmtId="0" fontId="6" fillId="12" borderId="39" xfId="0" applyFont="1" applyFill="1" applyBorder="1" applyAlignment="1">
      <alignment horizontal="center"/>
    </xf>
    <xf numFmtId="0" fontId="6" fillId="11" borderId="35" xfId="0" applyFont="1" applyFill="1" applyBorder="1" applyAlignment="1">
      <alignment horizontal="right" wrapText="1"/>
    </xf>
    <xf numFmtId="0" fontId="6" fillId="11" borderId="40" xfId="0" applyFont="1" applyFill="1" applyBorder="1"/>
    <xf numFmtId="0" fontId="6" fillId="12" borderId="41" xfId="0" applyFont="1" applyFill="1" applyBorder="1" applyAlignment="1">
      <alignment horizontal="center"/>
    </xf>
    <xf numFmtId="0" fontId="6" fillId="12" borderId="42" xfId="0" applyFont="1" applyFill="1" applyBorder="1" applyAlignment="1">
      <alignment horizontal="center" vertical="center"/>
    </xf>
    <xf numFmtId="0" fontId="6" fillId="12" borderId="42" xfId="0" applyFont="1" applyFill="1" applyBorder="1" applyAlignment="1">
      <alignment horizontal="center"/>
    </xf>
    <xf numFmtId="184" fontId="6" fillId="12" borderId="43" xfId="0" applyNumberFormat="1" applyFont="1" applyFill="1" applyBorder="1" applyAlignment="1">
      <alignment horizontal="center"/>
    </xf>
    <xf numFmtId="0" fontId="6" fillId="12" borderId="44" xfId="0" applyFont="1" applyFill="1" applyBorder="1" applyAlignment="1">
      <alignment horizontal="center"/>
    </xf>
    <xf numFmtId="0" fontId="19" fillId="0" borderId="0" xfId="0" applyFont="1" applyAlignment="1">
      <alignment horizontal="left" vertical="top" wrapText="1"/>
    </xf>
    <xf numFmtId="0" fontId="20" fillId="0" borderId="0" xfId="0" applyFont="1"/>
    <xf numFmtId="0" fontId="21" fillId="0" borderId="0" xfId="0" applyFont="1" applyAlignment="1">
      <alignment horizontal="left"/>
    </xf>
    <xf numFmtId="0" fontId="0" fillId="11" borderId="45" xfId="0" applyFill="1" applyBorder="1" applyAlignment="1">
      <alignment vertical="top" wrapText="1"/>
    </xf>
    <xf numFmtId="0" fontId="0" fillId="11" borderId="46" xfId="0" applyFill="1" applyBorder="1" applyAlignment="1">
      <alignment horizontal="center" vertical="top" wrapText="1"/>
    </xf>
    <xf numFmtId="0" fontId="0" fillId="11" borderId="46" xfId="0" applyFill="1" applyBorder="1" applyAlignment="1">
      <alignment horizontal="center" vertical="top"/>
    </xf>
    <xf numFmtId="0" fontId="0" fillId="12" borderId="47" xfId="0" applyFill="1" applyBorder="1" applyAlignment="1">
      <alignment horizontal="center" vertical="top"/>
    </xf>
    <xf numFmtId="0" fontId="23" fillId="11" borderId="36" xfId="0" applyFont="1" applyFill="1" applyBorder="1" applyAlignment="1">
      <alignment wrapText="1"/>
    </xf>
    <xf numFmtId="3" fontId="0" fillId="0" borderId="37" xfId="0" applyNumberFormat="1" applyBorder="1" applyAlignment="1">
      <alignment horizontal="center"/>
    </xf>
    <xf numFmtId="0" fontId="0" fillId="0" borderId="37" xfId="0" applyBorder="1" applyAlignment="1">
      <alignment horizontal="center"/>
    </xf>
    <xf numFmtId="0" fontId="0" fillId="12" borderId="38" xfId="0" applyFill="1" applyBorder="1" applyAlignment="1">
      <alignment horizontal="center"/>
    </xf>
    <xf numFmtId="3" fontId="0" fillId="13" borderId="37" xfId="0" applyNumberFormat="1" applyFill="1" applyBorder="1" applyAlignment="1">
      <alignment horizontal="center"/>
    </xf>
    <xf numFmtId="4" fontId="0" fillId="13" borderId="37" xfId="0" applyNumberFormat="1" applyFill="1" applyBorder="1" applyAlignment="1">
      <alignment horizontal="center"/>
    </xf>
    <xf numFmtId="0" fontId="23" fillId="11" borderId="48" xfId="0" applyFont="1" applyFill="1" applyBorder="1" applyAlignment="1">
      <alignment wrapText="1"/>
    </xf>
    <xf numFmtId="0" fontId="0" fillId="13" borderId="49" xfId="0" applyFill="1" applyBorder="1" applyAlignment="1">
      <alignment horizontal="center"/>
    </xf>
    <xf numFmtId="0" fontId="0" fillId="12" borderId="50" xfId="0" applyFill="1" applyBorder="1" applyAlignment="1">
      <alignment horizontal="center"/>
    </xf>
    <xf numFmtId="0" fontId="19" fillId="0" borderId="51" xfId="0" applyFont="1" applyBorder="1" applyAlignment="1">
      <alignment horizontal="left" vertical="center"/>
    </xf>
    <xf numFmtId="0" fontId="0" fillId="0" borderId="0" xfId="0" applyAlignment="1">
      <alignment horizontal="left" vertical="top" wrapText="1"/>
    </xf>
    <xf numFmtId="0" fontId="1" fillId="0" borderId="0" xfId="0" applyFont="1" applyAlignment="1">
      <alignment horizontal="left" vertical="top" wrapText="1"/>
    </xf>
    <xf numFmtId="0" fontId="11" fillId="11" borderId="45" xfId="0" applyFont="1" applyFill="1" applyBorder="1" applyAlignment="1">
      <alignment vertical="top"/>
    </xf>
    <xf numFmtId="0" fontId="0" fillId="11" borderId="47" xfId="0" applyFill="1" applyBorder="1" applyAlignment="1">
      <alignment horizontal="center" vertical="top" wrapText="1"/>
    </xf>
    <xf numFmtId="0" fontId="0" fillId="11" borderId="36" xfId="0" applyFill="1" applyBorder="1"/>
    <xf numFmtId="0" fontId="0" fillId="13" borderId="37" xfId="0" applyFill="1" applyBorder="1" applyAlignment="1">
      <alignment horizontal="center"/>
    </xf>
    <xf numFmtId="0" fontId="0" fillId="12" borderId="48" xfId="0" applyFill="1" applyBorder="1"/>
    <xf numFmtId="0" fontId="0" fillId="12" borderId="49" xfId="0" applyFill="1" applyBorder="1" applyAlignment="1">
      <alignment horizontal="center"/>
    </xf>
    <xf numFmtId="0" fontId="6" fillId="11" borderId="45" xfId="0" applyFont="1" applyFill="1" applyBorder="1" applyAlignment="1">
      <alignment horizontal="center" wrapText="1"/>
    </xf>
    <xf numFmtId="0" fontId="6" fillId="11" borderId="46" xfId="0" applyFont="1" applyFill="1" applyBorder="1" applyAlignment="1">
      <alignment horizontal="center" wrapText="1"/>
    </xf>
    <xf numFmtId="0" fontId="6" fillId="11" borderId="47" xfId="0" applyFont="1" applyFill="1" applyBorder="1" applyAlignment="1">
      <alignment horizontal="center" wrapText="1"/>
    </xf>
    <xf numFmtId="0" fontId="6" fillId="11" borderId="36" xfId="0" applyFont="1" applyFill="1" applyBorder="1"/>
    <xf numFmtId="0" fontId="6" fillId="0" borderId="38" xfId="0" applyFont="1" applyBorder="1" applyAlignment="1">
      <alignment horizontal="center"/>
    </xf>
    <xf numFmtId="0" fontId="6" fillId="11" borderId="48" xfId="0" applyFont="1" applyFill="1" applyBorder="1"/>
    <xf numFmtId="0" fontId="6" fillId="0" borderId="49" xfId="0" applyFont="1" applyBorder="1" applyAlignment="1">
      <alignment horizontal="center"/>
    </xf>
    <xf numFmtId="0" fontId="6" fillId="0" borderId="50" xfId="0" applyFont="1" applyBorder="1" applyAlignment="1">
      <alignment horizontal="center"/>
    </xf>
    <xf numFmtId="0" fontId="19" fillId="0" borderId="0" xfId="0" applyFont="1"/>
    <xf numFmtId="0" fontId="28" fillId="0" borderId="0" xfId="5" applyFont="1"/>
    <xf numFmtId="0" fontId="29" fillId="14" borderId="0" xfId="0" applyFont="1" applyFill="1"/>
    <xf numFmtId="0" fontId="0" fillId="14" borderId="0" xfId="0" applyFill="1"/>
    <xf numFmtId="0" fontId="30" fillId="15" borderId="0" xfId="0" applyFont="1" applyFill="1"/>
    <xf numFmtId="0" fontId="0" fillId="15" borderId="0" xfId="0" applyFill="1"/>
    <xf numFmtId="0" fontId="31" fillId="15" borderId="0" xfId="6" applyFont="1" applyFill="1" applyBorder="1"/>
    <xf numFmtId="0" fontId="31" fillId="15" borderId="9" xfId="6" applyFont="1" applyFill="1" applyBorder="1"/>
    <xf numFmtId="0" fontId="31" fillId="15" borderId="20" xfId="6" applyFont="1" applyFill="1" applyBorder="1"/>
    <xf numFmtId="0" fontId="33" fillId="17" borderId="0" xfId="0" applyFont="1" applyFill="1"/>
    <xf numFmtId="0" fontId="3" fillId="17" borderId="0" xfId="0" applyFont="1" applyFill="1"/>
    <xf numFmtId="43" fontId="3" fillId="17" borderId="0" xfId="6" applyNumberFormat="1" applyFont="1" applyFill="1" applyBorder="1"/>
    <xf numFmtId="0" fontId="34" fillId="15" borderId="0" xfId="6" applyFont="1" applyFill="1" applyBorder="1" applyAlignment="1">
      <alignment horizontal="right"/>
    </xf>
    <xf numFmtId="0" fontId="3" fillId="15" borderId="0" xfId="6" applyFont="1" applyFill="1" applyBorder="1"/>
    <xf numFmtId="43" fontId="3" fillId="15" borderId="0" xfId="6" applyNumberFormat="1" applyFont="1" applyFill="1" applyBorder="1"/>
    <xf numFmtId="0" fontId="3" fillId="2" borderId="0" xfId="6" applyFont="1" applyFill="1" applyBorder="1"/>
    <xf numFmtId="43" fontId="3" fillId="2" borderId="0" xfId="7" applyFont="1" applyFill="1" applyBorder="1" applyAlignment="1"/>
    <xf numFmtId="43" fontId="3" fillId="15" borderId="0" xfId="7" applyFont="1" applyFill="1" applyBorder="1" applyAlignment="1"/>
    <xf numFmtId="0" fontId="3" fillId="2" borderId="0" xfId="6" applyFont="1" applyFill="1" applyBorder="1" applyAlignment="1">
      <alignment vertical="center"/>
    </xf>
    <xf numFmtId="0" fontId="3" fillId="15" borderId="0" xfId="6" applyFont="1" applyFill="1" applyBorder="1" applyAlignment="1">
      <alignment vertical="center"/>
    </xf>
    <xf numFmtId="0" fontId="3" fillId="15" borderId="0" xfId="6" applyFont="1" applyFill="1" applyBorder="1" applyAlignment="1">
      <alignment horizontal="left"/>
    </xf>
    <xf numFmtId="0" fontId="3" fillId="15" borderId="0" xfId="0" applyFont="1" applyFill="1" applyAlignment="1">
      <alignment horizontal="left"/>
    </xf>
    <xf numFmtId="0" fontId="34" fillId="15" borderId="0" xfId="0" applyFont="1" applyFill="1" applyAlignment="1">
      <alignment horizontal="right"/>
    </xf>
    <xf numFmtId="0" fontId="6" fillId="15" borderId="0" xfId="6" applyFont="1" applyFill="1" applyBorder="1"/>
    <xf numFmtId="0" fontId="3" fillId="15" borderId="0" xfId="6" applyFont="1" applyFill="1" applyBorder="1" applyAlignment="1">
      <alignment horizontal="left" vertical="center" wrapText="1"/>
    </xf>
    <xf numFmtId="0" fontId="1" fillId="17" borderId="55" xfId="0" applyFont="1" applyFill="1" applyBorder="1" applyAlignment="1">
      <alignment horizontal="right"/>
    </xf>
    <xf numFmtId="0" fontId="1" fillId="17" borderId="55" xfId="0" applyFont="1" applyFill="1" applyBorder="1"/>
    <xf numFmtId="43" fontId="1" fillId="17" borderId="55" xfId="0" applyNumberFormat="1" applyFont="1" applyFill="1" applyBorder="1"/>
    <xf numFmtId="0" fontId="1" fillId="15" borderId="0" xfId="0" applyFont="1" applyFill="1"/>
    <xf numFmtId="43" fontId="30" fillId="15" borderId="0" xfId="0" applyNumberFormat="1" applyFont="1" applyFill="1"/>
    <xf numFmtId="0" fontId="0" fillId="15" borderId="0" xfId="0" applyFill="1" applyAlignment="1">
      <alignment wrapText="1"/>
    </xf>
    <xf numFmtId="0" fontId="31" fillId="15" borderId="0" xfId="6" applyFont="1" applyFill="1" applyBorder="1" applyAlignment="1">
      <alignment wrapText="1"/>
    </xf>
    <xf numFmtId="0" fontId="31" fillId="15" borderId="0" xfId="0" applyFont="1" applyFill="1" applyAlignment="1">
      <alignment wrapText="1"/>
    </xf>
    <xf numFmtId="0" fontId="31" fillId="15" borderId="9" xfId="0" applyFont="1" applyFill="1" applyBorder="1"/>
    <xf numFmtId="0" fontId="31" fillId="15" borderId="20" xfId="0" applyFont="1" applyFill="1" applyBorder="1"/>
    <xf numFmtId="0" fontId="31" fillId="15" borderId="20" xfId="0" quotePrefix="1" applyFont="1" applyFill="1" applyBorder="1" applyAlignment="1">
      <alignment horizontal="right"/>
    </xf>
    <xf numFmtId="43" fontId="3" fillId="17" borderId="0" xfId="7" applyFont="1" applyFill="1" applyBorder="1" applyAlignment="1"/>
    <xf numFmtId="0" fontId="3" fillId="2" borderId="0" xfId="0" applyFont="1" applyFill="1"/>
    <xf numFmtId="0" fontId="34" fillId="15" borderId="0" xfId="8" applyFont="1" applyFill="1" applyAlignment="1">
      <alignment horizontal="right"/>
    </xf>
    <xf numFmtId="0" fontId="3" fillId="15" borderId="0" xfId="8" applyFont="1" applyFill="1" applyAlignment="1">
      <alignment horizontal="left"/>
    </xf>
    <xf numFmtId="0" fontId="3" fillId="2" borderId="0" xfId="8" applyFont="1" applyFill="1" applyAlignment="1">
      <alignment horizontal="left"/>
    </xf>
    <xf numFmtId="0" fontId="3" fillId="15" borderId="0" xfId="8" applyFont="1" applyFill="1" applyAlignment="1">
      <alignment horizontal="left" indent="2"/>
    </xf>
    <xf numFmtId="0" fontId="0" fillId="0" borderId="0" xfId="0" applyAlignment="1">
      <alignment horizontal="left" indent="2"/>
    </xf>
    <xf numFmtId="0" fontId="33" fillId="17" borderId="2" xfId="0" applyFont="1" applyFill="1" applyBorder="1"/>
    <xf numFmtId="0" fontId="3" fillId="17" borderId="2" xfId="0" applyFont="1" applyFill="1" applyBorder="1"/>
    <xf numFmtId="43" fontId="3" fillId="17" borderId="2" xfId="7" applyFont="1" applyFill="1" applyBorder="1" applyAlignment="1"/>
    <xf numFmtId="0" fontId="3" fillId="2" borderId="0" xfId="8" applyFont="1" applyFill="1" applyAlignment="1">
      <alignment vertical="center"/>
    </xf>
    <xf numFmtId="0" fontId="3" fillId="2" borderId="0" xfId="0" applyFont="1" applyFill="1" applyAlignment="1">
      <alignment horizontal="left"/>
    </xf>
    <xf numFmtId="0" fontId="3" fillId="15" borderId="0" xfId="0" applyFont="1" applyFill="1" applyAlignment="1">
      <alignment horizontal="left" indent="2"/>
    </xf>
    <xf numFmtId="0" fontId="3" fillId="15" borderId="0" xfId="0" applyFont="1" applyFill="1"/>
    <xf numFmtId="0" fontId="3" fillId="15" borderId="0" xfId="0" applyFont="1" applyFill="1" applyAlignment="1">
      <alignment horizontal="left" vertical="center" indent="2"/>
    </xf>
    <xf numFmtId="0" fontId="34" fillId="15" borderId="0" xfId="0" applyFont="1" applyFill="1" applyAlignment="1">
      <alignment horizontal="right" vertical="center"/>
    </xf>
    <xf numFmtId="0" fontId="33" fillId="17" borderId="55" xfId="0" applyFont="1" applyFill="1" applyBorder="1" applyAlignment="1">
      <alignment horizontal="right"/>
    </xf>
    <xf numFmtId="0" fontId="31" fillId="17" borderId="55" xfId="8" applyFont="1" applyFill="1" applyBorder="1" applyAlignment="1">
      <alignment horizontal="left"/>
    </xf>
    <xf numFmtId="43" fontId="31" fillId="17" borderId="55" xfId="7" applyFont="1" applyFill="1" applyBorder="1" applyAlignment="1"/>
    <xf numFmtId="0" fontId="37" fillId="17" borderId="0" xfId="0" applyFont="1" applyFill="1" applyAlignment="1">
      <alignment horizontal="right"/>
    </xf>
    <xf numFmtId="0" fontId="31" fillId="17" borderId="0" xfId="8" applyFont="1" applyFill="1" applyAlignment="1">
      <alignment horizontal="left"/>
    </xf>
    <xf numFmtId="43" fontId="0" fillId="15" borderId="0" xfId="0" applyNumberFormat="1" applyFill="1"/>
    <xf numFmtId="0" fontId="30" fillId="15" borderId="0" xfId="0" applyFont="1" applyFill="1" applyAlignment="1">
      <alignment horizontal="right"/>
    </xf>
    <xf numFmtId="10" fontId="30" fillId="15" borderId="0" xfId="2" applyNumberFormat="1" applyFont="1" applyFill="1"/>
    <xf numFmtId="0" fontId="19" fillId="15" borderId="0" xfId="0" applyFont="1" applyFill="1"/>
    <xf numFmtId="0" fontId="17" fillId="15" borderId="0" xfId="0" applyFont="1" applyFill="1"/>
    <xf numFmtId="3" fontId="17" fillId="0" borderId="0" xfId="0" applyNumberFormat="1" applyFont="1"/>
    <xf numFmtId="3" fontId="16" fillId="0" borderId="0" xfId="0" applyNumberFormat="1" applyFont="1"/>
    <xf numFmtId="0" fontId="39" fillId="0" borderId="0" xfId="0" applyFont="1"/>
    <xf numFmtId="0" fontId="40" fillId="0" borderId="0" xfId="0" applyFont="1"/>
    <xf numFmtId="0" fontId="0" fillId="0" borderId="56" xfId="0" applyBorder="1"/>
    <xf numFmtId="0" fontId="0" fillId="0" borderId="56" xfId="0" applyBorder="1" applyAlignment="1">
      <alignment wrapText="1"/>
    </xf>
    <xf numFmtId="3" fontId="0" fillId="0" borderId="56" xfId="0" applyNumberFormat="1" applyBorder="1"/>
    <xf numFmtId="3" fontId="0" fillId="18" borderId="0" xfId="0" applyNumberFormat="1" applyFill="1"/>
    <xf numFmtId="0" fontId="12" fillId="0" borderId="0" xfId="0" applyFont="1"/>
    <xf numFmtId="0" fontId="41" fillId="0" borderId="0" xfId="0" applyFont="1"/>
    <xf numFmtId="0" fontId="0" fillId="0" borderId="55" xfId="0" applyBorder="1"/>
    <xf numFmtId="3" fontId="0" fillId="0" borderId="55" xfId="0" applyNumberFormat="1" applyBorder="1"/>
    <xf numFmtId="1" fontId="12" fillId="0" borderId="0" xfId="0" applyNumberFormat="1" applyFont="1"/>
    <xf numFmtId="164" fontId="0" fillId="0" borderId="56" xfId="2" applyNumberFormat="1" applyFont="1" applyBorder="1"/>
    <xf numFmtId="0" fontId="19" fillId="0" borderId="0" xfId="0" applyFont="1" applyAlignment="1">
      <alignment vertical="center"/>
    </xf>
    <xf numFmtId="0" fontId="28" fillId="0" borderId="0" xfId="5" applyFont="1" applyAlignment="1">
      <alignment vertical="center"/>
    </xf>
    <xf numFmtId="0" fontId="42" fillId="6" borderId="37" xfId="0" applyFont="1" applyFill="1" applyBorder="1" applyAlignment="1">
      <alignment horizontal="center" vertical="center" wrapText="1"/>
    </xf>
    <xf numFmtId="0" fontId="42" fillId="19" borderId="37" xfId="0" applyFont="1" applyFill="1" applyBorder="1" applyAlignment="1">
      <alignment horizontal="center" vertical="center" wrapText="1"/>
    </xf>
    <xf numFmtId="0" fontId="42" fillId="20" borderId="37" xfId="0" applyFont="1" applyFill="1" applyBorder="1" applyAlignment="1">
      <alignment horizontal="center" vertical="center" wrapText="1"/>
    </xf>
    <xf numFmtId="0" fontId="42" fillId="21" borderId="37" xfId="0" applyFont="1" applyFill="1" applyBorder="1" applyAlignment="1">
      <alignment horizontal="center" vertical="center" wrapText="1"/>
    </xf>
    <xf numFmtId="0" fontId="43" fillId="22" borderId="37" xfId="0" applyFont="1" applyFill="1" applyBorder="1" applyAlignment="1">
      <alignment horizontal="center" vertical="center" wrapText="1"/>
    </xf>
    <xf numFmtId="0" fontId="42" fillId="23" borderId="37" xfId="0" applyFont="1" applyFill="1" applyBorder="1" applyAlignment="1">
      <alignment horizontal="center" vertical="center" wrapText="1"/>
    </xf>
    <xf numFmtId="0" fontId="42" fillId="24" borderId="37" xfId="0" applyFont="1" applyFill="1" applyBorder="1" applyAlignment="1">
      <alignment horizontal="center" vertical="center" wrapText="1"/>
    </xf>
    <xf numFmtId="0" fontId="42" fillId="25" borderId="37" xfId="0" applyFont="1" applyFill="1" applyBorder="1" applyAlignment="1">
      <alignment horizontal="center" vertical="center" wrapText="1"/>
    </xf>
    <xf numFmtId="0" fontId="42" fillId="26" borderId="37" xfId="0" applyFont="1" applyFill="1" applyBorder="1" applyAlignment="1">
      <alignment horizontal="center" vertical="center" wrapText="1"/>
    </xf>
    <xf numFmtId="0" fontId="42" fillId="27" borderId="37" xfId="0" applyFont="1" applyFill="1" applyBorder="1" applyAlignment="1">
      <alignment horizontal="center" vertical="center" wrapText="1"/>
    </xf>
    <xf numFmtId="0" fontId="43" fillId="28" borderId="37" xfId="0" applyFont="1" applyFill="1" applyBorder="1" applyAlignment="1">
      <alignment horizontal="center" vertical="center" wrapText="1"/>
    </xf>
    <xf numFmtId="0" fontId="42" fillId="29" borderId="37" xfId="0" applyFont="1" applyFill="1" applyBorder="1" applyAlignment="1">
      <alignment horizontal="center" vertical="center" wrapText="1"/>
    </xf>
    <xf numFmtId="0" fontId="42" fillId="30" borderId="37" xfId="0" applyFont="1" applyFill="1" applyBorder="1" applyAlignment="1">
      <alignment horizontal="center" vertical="center" wrapText="1"/>
    </xf>
    <xf numFmtId="0" fontId="42" fillId="31" borderId="37" xfId="0" applyFont="1" applyFill="1" applyBorder="1" applyAlignment="1">
      <alignment horizontal="center" vertical="center" wrapText="1"/>
    </xf>
    <xf numFmtId="0" fontId="42" fillId="32" borderId="37" xfId="0" applyFont="1" applyFill="1" applyBorder="1" applyAlignment="1">
      <alignment horizontal="center" vertical="center" wrapText="1"/>
    </xf>
    <xf numFmtId="0" fontId="44" fillId="0" borderId="0" xfId="0" applyFont="1"/>
    <xf numFmtId="3" fontId="44" fillId="0" borderId="0" xfId="0" applyNumberFormat="1" applyFont="1"/>
    <xf numFmtId="168" fontId="44" fillId="0" borderId="0" xfId="0" applyNumberFormat="1" applyFont="1"/>
    <xf numFmtId="171" fontId="44" fillId="0" borderId="0" xfId="0" applyNumberFormat="1" applyFont="1"/>
    <xf numFmtId="186" fontId="44" fillId="0" borderId="0" xfId="0" applyNumberFormat="1" applyFont="1"/>
    <xf numFmtId="167" fontId="44" fillId="0" borderId="0" xfId="0" applyNumberFormat="1" applyFont="1"/>
    <xf numFmtId="187" fontId="44" fillId="0" borderId="0" xfId="0" applyNumberFormat="1" applyFont="1"/>
    <xf numFmtId="164" fontId="44" fillId="0" borderId="0" xfId="0" applyNumberFormat="1" applyFont="1"/>
    <xf numFmtId="0" fontId="0" fillId="0" borderId="57" xfId="0" applyBorder="1"/>
    <xf numFmtId="0" fontId="0" fillId="0" borderId="57" xfId="0" applyBorder="1" applyAlignment="1">
      <alignment horizontal="center" wrapText="1"/>
    </xf>
    <xf numFmtId="0" fontId="0" fillId="0" borderId="58" xfId="0" applyBorder="1"/>
    <xf numFmtId="41" fontId="0" fillId="0" borderId="58" xfId="0" applyNumberFormat="1" applyBorder="1" applyAlignment="1">
      <alignment horizontal="right"/>
    </xf>
    <xf numFmtId="41" fontId="0" fillId="0" borderId="1" xfId="0" applyNumberFormat="1" applyBorder="1" applyAlignment="1">
      <alignment horizontal="right"/>
    </xf>
    <xf numFmtId="41" fontId="0" fillId="0" borderId="57" xfId="0" applyNumberFormat="1" applyBorder="1" applyAlignment="1">
      <alignment horizontal="right"/>
    </xf>
    <xf numFmtId="41" fontId="0" fillId="18" borderId="58" xfId="0" applyNumberFormat="1" applyFill="1" applyBorder="1" applyAlignment="1">
      <alignment horizontal="right"/>
    </xf>
    <xf numFmtId="0" fontId="0" fillId="0" borderId="59" xfId="0" applyBorder="1"/>
    <xf numFmtId="0" fontId="0" fillId="0" borderId="60" xfId="0" applyBorder="1"/>
    <xf numFmtId="0" fontId="0" fillId="0" borderId="61" xfId="0" applyBorder="1"/>
    <xf numFmtId="0" fontId="0" fillId="0" borderId="62" xfId="0" applyBorder="1"/>
    <xf numFmtId="0" fontId="0" fillId="0" borderId="63" xfId="0" applyBorder="1"/>
    <xf numFmtId="0" fontId="0" fillId="0" borderId="64" xfId="0" applyBorder="1"/>
    <xf numFmtId="10" fontId="0" fillId="0" borderId="0" xfId="2" applyNumberFormat="1" applyFont="1"/>
    <xf numFmtId="0" fontId="0" fillId="0" borderId="65" xfId="0" applyBorder="1"/>
    <xf numFmtId="3" fontId="0" fillId="0" borderId="65" xfId="0" applyNumberFormat="1" applyBorder="1"/>
    <xf numFmtId="0" fontId="0" fillId="0" borderId="66" xfId="0" applyBorder="1"/>
    <xf numFmtId="0" fontId="45" fillId="0" borderId="67" xfId="0" applyFont="1" applyBorder="1" applyAlignment="1">
      <alignment horizontal="right"/>
    </xf>
    <xf numFmtId="0" fontId="45" fillId="0" borderId="65" xfId="0" applyFont="1" applyBorder="1" applyAlignment="1">
      <alignment horizontal="right"/>
    </xf>
    <xf numFmtId="0" fontId="45" fillId="0" borderId="66" xfId="0" applyFont="1" applyBorder="1" applyAlignment="1">
      <alignment horizontal="right"/>
    </xf>
    <xf numFmtId="0" fontId="19" fillId="0" borderId="0" xfId="0" quotePrefix="1" applyFont="1"/>
    <xf numFmtId="0" fontId="0" fillId="0" borderId="58" xfId="0" applyBorder="1" applyAlignment="1">
      <alignment horizontal="left"/>
    </xf>
    <xf numFmtId="2" fontId="0" fillId="0" borderId="58" xfId="0" applyNumberFormat="1" applyBorder="1"/>
    <xf numFmtId="166" fontId="0" fillId="0" borderId="58" xfId="0" applyNumberFormat="1" applyBorder="1"/>
    <xf numFmtId="0" fontId="0" fillId="0" borderId="1" xfId="0" applyBorder="1" applyAlignment="1">
      <alignment horizontal="left"/>
    </xf>
    <xf numFmtId="0" fontId="0" fillId="0" borderId="1" xfId="0" applyBorder="1" applyAlignment="1">
      <alignment horizontal="right"/>
    </xf>
    <xf numFmtId="0" fontId="0" fillId="0" borderId="58" xfId="0" applyBorder="1" applyAlignment="1">
      <alignment horizontal="right"/>
    </xf>
    <xf numFmtId="0" fontId="19" fillId="0" borderId="64" xfId="0" applyFont="1" applyBorder="1"/>
    <xf numFmtId="0" fontId="23" fillId="0" borderId="57" xfId="0" applyFont="1" applyBorder="1" applyAlignment="1">
      <alignment horizontal="center" wrapText="1"/>
    </xf>
    <xf numFmtId="0" fontId="0" fillId="0" borderId="67" xfId="0" applyBorder="1"/>
    <xf numFmtId="41" fontId="0" fillId="0" borderId="58" xfId="0" applyNumberFormat="1" applyBorder="1"/>
    <xf numFmtId="41" fontId="0" fillId="0" borderId="1" xfId="0" applyNumberFormat="1" applyBorder="1"/>
    <xf numFmtId="3" fontId="0" fillId="0" borderId="58" xfId="0" applyNumberFormat="1" applyBorder="1"/>
    <xf numFmtId="0" fontId="0" fillId="0" borderId="58" xfId="0" applyBorder="1" applyAlignment="1">
      <alignment horizontal="center"/>
    </xf>
    <xf numFmtId="0" fontId="0" fillId="0" borderId="1" xfId="0" applyBorder="1" applyAlignment="1">
      <alignment horizontal="center"/>
    </xf>
    <xf numFmtId="0" fontId="0" fillId="0" borderId="57" xfId="0" applyBorder="1" applyAlignment="1">
      <alignment horizontal="center"/>
    </xf>
    <xf numFmtId="41" fontId="0" fillId="0" borderId="58" xfId="2" applyNumberFormat="1" applyFont="1" applyBorder="1"/>
    <xf numFmtId="41" fontId="0" fillId="0" borderId="68" xfId="0" applyNumberFormat="1" applyBorder="1"/>
    <xf numFmtId="41" fontId="0" fillId="0" borderId="57" xfId="0" applyNumberFormat="1" applyBorder="1"/>
    <xf numFmtId="41" fontId="0" fillId="0" borderId="0" xfId="0" applyNumberFormat="1"/>
    <xf numFmtId="0" fontId="29" fillId="14" borderId="0" xfId="0" applyFont="1" applyFill="1" applyAlignment="1">
      <alignment horizontal="left"/>
    </xf>
    <xf numFmtId="11" fontId="0" fillId="0" borderId="0" xfId="0" applyNumberFormat="1"/>
    <xf numFmtId="181" fontId="1" fillId="7" borderId="22" xfId="0" applyNumberFormat="1" applyFont="1" applyFill="1" applyBorder="1"/>
    <xf numFmtId="170" fontId="1" fillId="0" borderId="25" xfId="0" applyNumberFormat="1" applyFont="1" applyBorder="1"/>
    <xf numFmtId="188" fontId="1" fillId="17" borderId="55" xfId="0" applyNumberFormat="1" applyFont="1" applyFill="1" applyBorder="1" applyAlignment="1">
      <alignment horizontal="center" vertical="top"/>
    </xf>
    <xf numFmtId="188" fontId="31" fillId="17" borderId="55" xfId="7" applyNumberFormat="1" applyFont="1" applyFill="1" applyBorder="1" applyAlignment="1"/>
    <xf numFmtId="170" fontId="1" fillId="0" borderId="0" xfId="0" applyNumberFormat="1" applyFont="1"/>
    <xf numFmtId="0" fontId="0" fillId="11" borderId="0" xfId="0" applyFill="1" applyAlignment="1">
      <alignment horizontal="center" vertical="center"/>
    </xf>
    <xf numFmtId="164" fontId="0" fillId="0" borderId="0" xfId="0" applyNumberFormat="1"/>
    <xf numFmtId="0" fontId="47" fillId="0" borderId="0" xfId="0" applyFont="1"/>
    <xf numFmtId="0" fontId="48" fillId="11" borderId="29" xfId="0" applyFont="1" applyFill="1" applyBorder="1" applyAlignment="1">
      <alignment horizontal="center" wrapText="1"/>
    </xf>
    <xf numFmtId="184" fontId="6" fillId="0" borderId="36" xfId="0" applyNumberFormat="1" applyFont="1" applyBorder="1" applyAlignment="1">
      <alignment horizontal="center" vertical="center"/>
    </xf>
    <xf numFmtId="0" fontId="1" fillId="0" borderId="0" xfId="0" applyFont="1" applyAlignment="1">
      <alignment horizontal="center"/>
    </xf>
    <xf numFmtId="188" fontId="1" fillId="2" borderId="1" xfId="0" applyNumberFormat="1" applyFont="1" applyFill="1" applyBorder="1"/>
    <xf numFmtId="189" fontId="1" fillId="0" borderId="0" xfId="0" applyNumberFormat="1" applyFont="1"/>
    <xf numFmtId="190" fontId="1" fillId="0" borderId="0" xfId="0" applyNumberFormat="1" applyFont="1"/>
    <xf numFmtId="0" fontId="1" fillId="8" borderId="0" xfId="0" applyFont="1" applyFill="1"/>
    <xf numFmtId="189" fontId="0" fillId="0" borderId="0" xfId="0" applyNumberFormat="1"/>
    <xf numFmtId="190" fontId="0" fillId="0" borderId="0" xfId="0" applyNumberFormat="1"/>
    <xf numFmtId="0" fontId="0" fillId="5" borderId="1" xfId="0" applyFill="1" applyBorder="1"/>
    <xf numFmtId="4" fontId="0" fillId="5" borderId="1" xfId="0" applyNumberFormat="1" applyFill="1" applyBorder="1"/>
    <xf numFmtId="43" fontId="0" fillId="5" borderId="0" xfId="0" applyNumberFormat="1" applyFill="1" applyAlignment="1">
      <alignment horizontal="center"/>
    </xf>
    <xf numFmtId="165" fontId="0" fillId="0" borderId="0" xfId="0" applyNumberFormat="1" applyAlignment="1">
      <alignment horizontal="center"/>
    </xf>
    <xf numFmtId="43" fontId="0" fillId="5" borderId="1" xfId="0" applyNumberFormat="1" applyFill="1" applyBorder="1"/>
    <xf numFmtId="43" fontId="0" fillId="0" borderId="0" xfId="0" applyNumberFormat="1" applyAlignment="1">
      <alignment horizontal="center"/>
    </xf>
    <xf numFmtId="43" fontId="0" fillId="0" borderId="1" xfId="0" applyNumberFormat="1" applyBorder="1"/>
    <xf numFmtId="191" fontId="0" fillId="0" borderId="0" xfId="0" applyNumberFormat="1"/>
    <xf numFmtId="0" fontId="1" fillId="33" borderId="1" xfId="0" applyFont="1" applyFill="1" applyBorder="1" applyAlignment="1">
      <alignment horizontal="left" vertical="center" wrapText="1"/>
    </xf>
    <xf numFmtId="2" fontId="0" fillId="0" borderId="1" xfId="0" applyNumberFormat="1" applyBorder="1" applyAlignment="1">
      <alignment horizontal="left"/>
    </xf>
    <xf numFmtId="0" fontId="11" fillId="0" borderId="1" xfId="0" applyFont="1" applyBorder="1" applyAlignment="1">
      <alignment horizontal="left"/>
    </xf>
    <xf numFmtId="2" fontId="11" fillId="0" borderId="1" xfId="0" applyNumberFormat="1" applyFont="1" applyBorder="1" applyAlignment="1">
      <alignment horizontal="left"/>
    </xf>
    <xf numFmtId="0" fontId="1" fillId="13" borderId="1" xfId="0" applyFont="1" applyFill="1" applyBorder="1" applyAlignment="1">
      <alignment horizontal="left"/>
    </xf>
    <xf numFmtId="2" fontId="1" fillId="13" borderId="1" xfId="0" applyNumberFormat="1" applyFont="1" applyFill="1" applyBorder="1" applyAlignment="1">
      <alignment horizontal="left"/>
    </xf>
    <xf numFmtId="9" fontId="0" fillId="0" borderId="0" xfId="0" applyNumberFormat="1"/>
    <xf numFmtId="0" fontId="1" fillId="33" borderId="1" xfId="0" applyFont="1" applyFill="1" applyBorder="1" applyAlignment="1">
      <alignment horizontal="left" vertical="center"/>
    </xf>
    <xf numFmtId="0" fontId="1" fillId="33" borderId="1" xfId="0" applyFont="1" applyFill="1" applyBorder="1" applyAlignment="1">
      <alignment horizontal="left" wrapText="1"/>
    </xf>
    <xf numFmtId="2" fontId="3" fillId="0" borderId="1" xfId="0" applyNumberFormat="1" applyFont="1" applyBorder="1" applyAlignment="1">
      <alignment horizontal="left"/>
    </xf>
    <xf numFmtId="2" fontId="34" fillId="0" borderId="1" xfId="0" applyNumberFormat="1" applyFont="1" applyBorder="1" applyAlignment="1">
      <alignment horizontal="left"/>
    </xf>
    <xf numFmtId="2" fontId="49" fillId="0" borderId="1" xfId="0" applyNumberFormat="1" applyFont="1" applyBorder="1" applyAlignment="1">
      <alignment horizontal="left"/>
    </xf>
    <xf numFmtId="0" fontId="34" fillId="0" borderId="1" xfId="0" applyFont="1" applyBorder="1" applyAlignment="1">
      <alignment horizontal="left"/>
    </xf>
    <xf numFmtId="2" fontId="50" fillId="0" borderId="1" xfId="0" applyNumberFormat="1" applyFont="1" applyBorder="1" applyAlignment="1">
      <alignment horizontal="left"/>
    </xf>
    <xf numFmtId="0" fontId="3" fillId="0" borderId="1" xfId="0" applyFont="1" applyBorder="1" applyAlignment="1">
      <alignment horizontal="left"/>
    </xf>
    <xf numFmtId="0" fontId="3" fillId="0" borderId="0" xfId="0" applyFont="1"/>
    <xf numFmtId="0" fontId="31" fillId="13" borderId="1" xfId="0" applyFont="1" applyFill="1" applyBorder="1" applyAlignment="1">
      <alignment horizontal="left"/>
    </xf>
    <xf numFmtId="2" fontId="31" fillId="13" borderId="1" xfId="0" applyNumberFormat="1" applyFont="1" applyFill="1" applyBorder="1" applyAlignment="1">
      <alignment horizontal="left"/>
    </xf>
    <xf numFmtId="192" fontId="0" fillId="0" borderId="1" xfId="2" applyNumberFormat="1" applyFont="1" applyBorder="1" applyAlignment="1">
      <alignment horizontal="left"/>
    </xf>
    <xf numFmtId="192" fontId="11" fillId="0" borderId="1" xfId="2" applyNumberFormat="1" applyFont="1" applyBorder="1" applyAlignment="1">
      <alignment horizontal="left"/>
    </xf>
    <xf numFmtId="192" fontId="1" fillId="13" borderId="1" xfId="2" applyNumberFormat="1" applyFont="1" applyFill="1" applyBorder="1" applyAlignment="1">
      <alignment horizontal="left"/>
    </xf>
    <xf numFmtId="177" fontId="0" fillId="0" borderId="0" xfId="0" applyNumberFormat="1"/>
    <xf numFmtId="179" fontId="0" fillId="0" borderId="0" xfId="0" applyNumberFormat="1"/>
    <xf numFmtId="188" fontId="1" fillId="0" borderId="0" xfId="0" applyNumberFormat="1" applyFont="1"/>
    <xf numFmtId="0" fontId="27" fillId="0" borderId="0" xfId="5"/>
    <xf numFmtId="0" fontId="15" fillId="9" borderId="0" xfId="0" applyFont="1" applyFill="1"/>
    <xf numFmtId="0" fontId="0" fillId="9" borderId="0" xfId="0" applyFill="1"/>
    <xf numFmtId="171" fontId="0" fillId="5" borderId="1" xfId="0" applyNumberFormat="1" applyFill="1" applyBorder="1"/>
    <xf numFmtId="0" fontId="0" fillId="3" borderId="1" xfId="0" applyFill="1" applyBorder="1"/>
    <xf numFmtId="171" fontId="0" fillId="3" borderId="1" xfId="0" applyNumberFormat="1" applyFill="1" applyBorder="1"/>
    <xf numFmtId="181" fontId="0" fillId="0" borderId="0" xfId="0" applyNumberFormat="1"/>
    <xf numFmtId="170" fontId="0" fillId="0" borderId="0" xfId="0" applyNumberFormat="1"/>
    <xf numFmtId="184" fontId="0" fillId="0" borderId="0" xfId="0" applyNumberFormat="1"/>
    <xf numFmtId="184" fontId="0" fillId="0" borderId="0" xfId="0" applyNumberFormat="1" applyAlignment="1">
      <alignment horizontal="center"/>
    </xf>
    <xf numFmtId="0" fontId="1" fillId="33" borderId="1" xfId="0" applyFont="1" applyFill="1" applyBorder="1" applyAlignment="1">
      <alignment horizontal="left" vertical="center"/>
    </xf>
    <xf numFmtId="0" fontId="1" fillId="33" borderId="1" xfId="0" applyFont="1" applyFill="1" applyBorder="1" applyAlignment="1">
      <alignment horizontal="center" wrapText="1"/>
    </xf>
    <xf numFmtId="0" fontId="13" fillId="0" borderId="0" xfId="0" applyFont="1" applyAlignment="1">
      <alignment horizontal="left" vertical="top" wrapText="1"/>
    </xf>
    <xf numFmtId="0" fontId="0" fillId="0" borderId="0" xfId="0" applyAlignment="1">
      <alignment horizontal="right" vertical="center"/>
    </xf>
    <xf numFmtId="0" fontId="19" fillId="0" borderId="51" xfId="0" applyFont="1" applyBorder="1" applyAlignment="1">
      <alignment horizontal="left" wrapText="1"/>
    </xf>
    <xf numFmtId="0" fontId="1" fillId="0" borderId="0" xfId="0" applyFont="1" applyAlignment="1">
      <alignment horizontal="center"/>
    </xf>
    <xf numFmtId="0" fontId="19" fillId="0" borderId="0" xfId="0" applyFont="1" applyAlignment="1">
      <alignment horizontal="left" vertical="top" wrapText="1"/>
    </xf>
    <xf numFmtId="0" fontId="19" fillId="0" borderId="0" xfId="0" applyFont="1" applyAlignment="1">
      <alignment horizontal="left" wrapText="1"/>
    </xf>
    <xf numFmtId="0" fontId="1" fillId="16" borderId="52" xfId="0" applyFont="1" applyFill="1" applyBorder="1" applyAlignment="1">
      <alignment horizontal="center" wrapText="1"/>
    </xf>
    <xf numFmtId="0" fontId="1" fillId="16" borderId="53" xfId="0" applyFont="1" applyFill="1" applyBorder="1" applyAlignment="1">
      <alignment horizontal="center"/>
    </xf>
    <xf numFmtId="0" fontId="1" fillId="16" borderId="54" xfId="0" applyFont="1" applyFill="1" applyBorder="1" applyAlignment="1">
      <alignment horizontal="center"/>
    </xf>
    <xf numFmtId="0" fontId="3" fillId="15" borderId="0" xfId="6" applyFont="1" applyFill="1" applyBorder="1" applyAlignment="1">
      <alignment horizontal="left" vertical="center" wrapText="1"/>
    </xf>
    <xf numFmtId="0" fontId="0" fillId="0" borderId="58" xfId="0" applyBorder="1" applyAlignment="1">
      <alignment horizontal="left"/>
    </xf>
    <xf numFmtId="0" fontId="1" fillId="16" borderId="53" xfId="0" applyFont="1" applyFill="1" applyBorder="1" applyAlignment="1">
      <alignment horizontal="center" wrapText="1"/>
    </xf>
    <xf numFmtId="0" fontId="1" fillId="16" borderId="54" xfId="0" applyFont="1" applyFill="1" applyBorder="1" applyAlignment="1">
      <alignment horizontal="center" wrapText="1"/>
    </xf>
    <xf numFmtId="0" fontId="3" fillId="15" borderId="0" xfId="8" applyFont="1" applyFill="1" applyAlignment="1">
      <alignment horizontal="left" vertical="center" indent="2"/>
    </xf>
  </cellXfs>
  <cellStyles count="9">
    <cellStyle name="Comma" xfId="1" builtinId="3"/>
    <cellStyle name="Comma 2" xfId="7" xr:uid="{B681A92E-F4FD-428E-810D-6FD474954D08}"/>
    <cellStyle name="Hyperlink" xfId="5" builtinId="8"/>
    <cellStyle name="Hyperlink 2" xfId="4" xr:uid="{9ACE5F63-7F2B-47A3-9C5E-0F0227BCF43A}"/>
    <cellStyle name="Normal" xfId="0" builtinId="0"/>
    <cellStyle name="Normal 2" xfId="3" xr:uid="{687B50D4-224C-4D25-AF0F-905480F08764}"/>
    <cellStyle name="Normal_ag" xfId="6" xr:uid="{9476078B-636D-488B-A909-EFBD8267E52E}"/>
    <cellStyle name="Normal_Book1" xfId="8" xr:uid="{5C87A004-A71D-4CDA-AAA9-9E1D26DCE6D0}"/>
    <cellStyle name="Percent" xfId="2" builtinId="5"/>
  </cellStyles>
  <dxfs count="0"/>
  <tableStyles count="1" defaultTableStyle="TableStyleMedium2" defaultPivotStyle="PivotStyleLight16">
    <tableStyle name="Invisible" pivot="0" table="0" count="0" xr9:uid="{A97F1FD1-671B-4445-9936-CEDF64FC0EE9}"/>
  </tableStyles>
  <colors>
    <mruColors>
      <color rgb="FFFFA168"/>
      <color rgb="FF0D2345"/>
      <color rgb="FFB5CAE7"/>
      <color rgb="FF008541"/>
      <color rgb="FF718C55"/>
      <color rgb="FF026773"/>
      <color rgb="FF215EA7"/>
      <color rgb="FFDF7D2A"/>
      <color rgb="FFF1E1C0"/>
      <color rgb="FFF4F1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0813779993919973"/>
          <c:y val="0.12252036677233527"/>
          <c:w val="0.57305783044733294"/>
          <c:h val="0.81989455863471616"/>
        </c:manualLayout>
      </c:layout>
      <c:pieChart>
        <c:varyColors val="1"/>
        <c:ser>
          <c:idx val="0"/>
          <c:order val="0"/>
          <c:tx>
            <c:strRef>
              <c:f>'SUMMARY TABLES'!$B$21:$H$21</c:f>
              <c:strCache>
                <c:ptCount val="7"/>
                <c:pt idx="0">
                  <c:v>CO2</c:v>
                </c:pt>
                <c:pt idx="1">
                  <c:v>CH4</c:v>
                </c:pt>
                <c:pt idx="2">
                  <c:v>N2O</c:v>
                </c:pt>
                <c:pt idx="3">
                  <c:v>HFCs</c:v>
                </c:pt>
                <c:pt idx="4">
                  <c:v>PFCs</c:v>
                </c:pt>
                <c:pt idx="5">
                  <c:v>SF6</c:v>
                </c:pt>
                <c:pt idx="6">
                  <c:v>NF3</c:v>
                </c:pt>
              </c:strCache>
            </c:strRef>
          </c:tx>
          <c:spPr>
            <a:ln w="6350"/>
          </c:spPr>
          <c:dPt>
            <c:idx val="0"/>
            <c:bubble3D val="0"/>
            <c:spPr>
              <a:solidFill>
                <a:srgbClr val="026773"/>
              </a:solidFill>
              <a:ln w="6350">
                <a:solidFill>
                  <a:schemeClr val="lt1"/>
                </a:solidFill>
              </a:ln>
              <a:effectLst/>
            </c:spPr>
            <c:extLst>
              <c:ext xmlns:c16="http://schemas.microsoft.com/office/drawing/2014/chart" uri="{C3380CC4-5D6E-409C-BE32-E72D297353CC}">
                <c16:uniqueId val="{00000001-A93E-4F1D-8FC0-E171051327F8}"/>
              </c:ext>
            </c:extLst>
          </c:dPt>
          <c:dPt>
            <c:idx val="1"/>
            <c:bubble3D val="0"/>
            <c:spPr>
              <a:solidFill>
                <a:srgbClr val="718C55"/>
              </a:solidFill>
              <a:ln w="6350">
                <a:solidFill>
                  <a:schemeClr val="lt1"/>
                </a:solidFill>
              </a:ln>
              <a:effectLst/>
            </c:spPr>
            <c:extLst>
              <c:ext xmlns:c16="http://schemas.microsoft.com/office/drawing/2014/chart" uri="{C3380CC4-5D6E-409C-BE32-E72D297353CC}">
                <c16:uniqueId val="{00000003-A93E-4F1D-8FC0-E171051327F8}"/>
              </c:ext>
            </c:extLst>
          </c:dPt>
          <c:dPt>
            <c:idx val="2"/>
            <c:bubble3D val="0"/>
            <c:spPr>
              <a:solidFill>
                <a:srgbClr val="FFA168"/>
              </a:solidFill>
              <a:ln w="6350">
                <a:solidFill>
                  <a:schemeClr val="lt1"/>
                </a:solidFill>
              </a:ln>
              <a:effectLst/>
            </c:spPr>
            <c:extLst>
              <c:ext xmlns:c16="http://schemas.microsoft.com/office/drawing/2014/chart" uri="{C3380CC4-5D6E-409C-BE32-E72D297353CC}">
                <c16:uniqueId val="{00000005-A93E-4F1D-8FC0-E171051327F8}"/>
              </c:ext>
            </c:extLst>
          </c:dPt>
          <c:dPt>
            <c:idx val="3"/>
            <c:bubble3D val="0"/>
            <c:spPr>
              <a:solidFill>
                <a:srgbClr val="0D2345"/>
              </a:solidFill>
              <a:ln w="6350">
                <a:solidFill>
                  <a:schemeClr val="lt1"/>
                </a:solidFill>
              </a:ln>
              <a:effectLst/>
            </c:spPr>
            <c:extLst>
              <c:ext xmlns:c16="http://schemas.microsoft.com/office/drawing/2014/chart" uri="{C3380CC4-5D6E-409C-BE32-E72D297353CC}">
                <c16:uniqueId val="{00000007-A93E-4F1D-8FC0-E171051327F8}"/>
              </c:ext>
            </c:extLst>
          </c:dPt>
          <c:dPt>
            <c:idx val="4"/>
            <c:bubble3D val="0"/>
            <c:spPr>
              <a:solidFill>
                <a:srgbClr val="D45EC6"/>
              </a:solidFill>
              <a:ln w="6350">
                <a:solidFill>
                  <a:schemeClr val="lt1"/>
                </a:solidFill>
              </a:ln>
              <a:effectLst/>
            </c:spPr>
            <c:extLst>
              <c:ext xmlns:c16="http://schemas.microsoft.com/office/drawing/2014/chart" uri="{C3380CC4-5D6E-409C-BE32-E72D297353CC}">
                <c16:uniqueId val="{00000009-A93E-4F1D-8FC0-E171051327F8}"/>
              </c:ext>
            </c:extLst>
          </c:dPt>
          <c:dPt>
            <c:idx val="5"/>
            <c:bubble3D val="0"/>
            <c:spPr>
              <a:solidFill>
                <a:srgbClr val="F1E1C0"/>
              </a:solidFill>
              <a:ln w="6350">
                <a:solidFill>
                  <a:schemeClr val="lt1"/>
                </a:solidFill>
              </a:ln>
              <a:effectLst/>
            </c:spPr>
            <c:extLst>
              <c:ext xmlns:c16="http://schemas.microsoft.com/office/drawing/2014/chart" uri="{C3380CC4-5D6E-409C-BE32-E72D297353CC}">
                <c16:uniqueId val="{0000000B-A93E-4F1D-8FC0-E171051327F8}"/>
              </c:ext>
            </c:extLst>
          </c:dPt>
          <c:dPt>
            <c:idx val="6"/>
            <c:bubble3D val="0"/>
            <c:spPr>
              <a:solidFill>
                <a:srgbClr val="F1CBEC"/>
              </a:solidFill>
              <a:ln w="6350">
                <a:solidFill>
                  <a:schemeClr val="lt1"/>
                </a:solidFill>
              </a:ln>
              <a:effectLst/>
            </c:spPr>
            <c:extLst>
              <c:ext xmlns:c16="http://schemas.microsoft.com/office/drawing/2014/chart" uri="{C3380CC4-5D6E-409C-BE32-E72D297353CC}">
                <c16:uniqueId val="{0000000D-A93E-4F1D-8FC0-E171051327F8}"/>
              </c:ext>
            </c:extLst>
          </c:dPt>
          <c:dLbls>
            <c:dLbl>
              <c:idx val="0"/>
              <c:layout>
                <c:manualLayout>
                  <c:x val="-0.14523447012448806"/>
                  <c:y val="-0.15390485280249055"/>
                </c:manualLayout>
              </c:layout>
              <c:tx>
                <c:rich>
                  <a:bodyPr rot="0" spcFirstLastPara="1" vertOverflow="ellipsis" vert="horz" wrap="square" lIns="38100" tIns="19050" rIns="38100" bIns="19050" anchor="ctr" anchorCtr="1">
                    <a:noAutofit/>
                  </a:bodyPr>
                  <a:lstStyle/>
                  <a:p>
                    <a:pPr>
                      <a:defRPr sz="1100" b="0" i="0" u="none" strike="noStrike" kern="1200" baseline="0">
                        <a:solidFill>
                          <a:schemeClr val="tx1"/>
                        </a:solidFill>
                        <a:latin typeface="+mn-lt"/>
                        <a:ea typeface="+mn-ea"/>
                        <a:cs typeface="+mn-cs"/>
                      </a:defRPr>
                    </a:pPr>
                    <a:r>
                      <a:rPr lang="en-US"/>
                      <a:t>CO2 68%</a:t>
                    </a:r>
                  </a:p>
                </c:rich>
              </c:tx>
              <c:numFmt formatCode="0%" sourceLinked="0"/>
              <c:spPr>
                <a:noFill/>
                <a:ln>
                  <a:noFill/>
                </a:ln>
                <a:effectLst/>
              </c:spPr>
              <c:txPr>
                <a:bodyPr rot="0" spcFirstLastPara="1" vertOverflow="ellipsis" vert="horz" wrap="square" lIns="38100" tIns="19050" rIns="38100" bIns="19050" anchor="ctr" anchorCtr="1">
                  <a:noAutofit/>
                </a:bodyPr>
                <a:lstStyle/>
                <a:p>
                  <a:pPr>
                    <a:defRPr sz="1100" b="0"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15:layout>
                    <c:manualLayout>
                      <c:w val="9.228440289160178E-2"/>
                      <c:h val="0.10245310245310245"/>
                    </c:manualLayout>
                  </c15:layout>
                  <c15:showDataLabelsRange val="0"/>
                </c:ext>
                <c:ext xmlns:c16="http://schemas.microsoft.com/office/drawing/2014/chart" uri="{C3380CC4-5D6E-409C-BE32-E72D297353CC}">
                  <c16:uniqueId val="{00000001-A93E-4F1D-8FC0-E171051327F8}"/>
                </c:ext>
              </c:extLst>
            </c:dLbl>
            <c:dLbl>
              <c:idx val="1"/>
              <c:layout>
                <c:manualLayout>
                  <c:x val="0.1290239271565905"/>
                  <c:y val="6.1833407187737902E-2"/>
                </c:manualLayout>
              </c:layout>
              <c:tx>
                <c:rich>
                  <a:bodyPr rot="0" spcFirstLastPara="1" vertOverflow="ellipsis" vert="horz" wrap="square" lIns="38100" tIns="19050" rIns="38100" bIns="19050" anchor="ctr" anchorCtr="1">
                    <a:noAutofit/>
                  </a:bodyPr>
                  <a:lstStyle/>
                  <a:p>
                    <a:pPr>
                      <a:defRPr sz="1100" b="0" i="0" u="none" strike="noStrike" kern="1200" baseline="0">
                        <a:solidFill>
                          <a:schemeClr val="tx1"/>
                        </a:solidFill>
                        <a:latin typeface="+mn-lt"/>
                        <a:ea typeface="+mn-ea"/>
                        <a:cs typeface="+mn-cs"/>
                      </a:defRPr>
                    </a:pPr>
                    <a:r>
                      <a:rPr lang="en-US"/>
                      <a:t>CH4 23%</a:t>
                    </a:r>
                  </a:p>
                </c:rich>
              </c:tx>
              <c:numFmt formatCode="0%" sourceLinked="0"/>
              <c:spPr>
                <a:noFill/>
                <a:ln>
                  <a:noFill/>
                </a:ln>
                <a:effectLst/>
              </c:spPr>
              <c:txPr>
                <a:bodyPr rot="0" spcFirstLastPara="1" vertOverflow="ellipsis" vert="horz" wrap="square" lIns="38100" tIns="19050" rIns="38100" bIns="19050" anchor="ctr" anchorCtr="1">
                  <a:noAutofit/>
                </a:bodyPr>
                <a:lstStyle/>
                <a:p>
                  <a:pPr>
                    <a:defRPr sz="1100" b="0"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15:layout>
                    <c:manualLayout>
                      <c:w val="7.0186495417903283E-2"/>
                      <c:h val="9.0707070707070708E-2"/>
                    </c:manualLayout>
                  </c15:layout>
                  <c15:showDataLabelsRange val="0"/>
                </c:ext>
                <c:ext xmlns:c16="http://schemas.microsoft.com/office/drawing/2014/chart" uri="{C3380CC4-5D6E-409C-BE32-E72D297353CC}">
                  <c16:uniqueId val="{00000003-A93E-4F1D-8FC0-E171051327F8}"/>
                </c:ext>
              </c:extLst>
            </c:dLbl>
            <c:dLbl>
              <c:idx val="2"/>
              <c:layout>
                <c:manualLayout>
                  <c:x val="5.446292629668302E-2"/>
                  <c:y val="0.12200634011657634"/>
                </c:manualLayout>
              </c:layout>
              <c:tx>
                <c:rich>
                  <a:bodyPr rot="0" spcFirstLastPara="1" vertOverflow="ellipsis" vert="horz" wrap="square" lIns="38100" tIns="19050" rIns="38100" bIns="19050" anchor="ctr" anchorCtr="1">
                    <a:noAutofit/>
                  </a:bodyPr>
                  <a:lstStyle/>
                  <a:p>
                    <a:pPr>
                      <a:defRPr sz="1100" b="0" i="0" u="none" strike="noStrike" kern="1200" baseline="0">
                        <a:solidFill>
                          <a:schemeClr val="tx1"/>
                        </a:solidFill>
                        <a:latin typeface="+mn-lt"/>
                        <a:ea typeface="+mn-ea"/>
                        <a:cs typeface="+mn-cs"/>
                      </a:defRPr>
                    </a:pPr>
                    <a:r>
                      <a:rPr lang="en-US"/>
                      <a:t>N2O 8%</a:t>
                    </a:r>
                  </a:p>
                </c:rich>
              </c:tx>
              <c:numFmt formatCode="0%" sourceLinked="0"/>
              <c:spPr>
                <a:noFill/>
                <a:ln>
                  <a:noFill/>
                </a:ln>
                <a:effectLst/>
              </c:spPr>
              <c:txPr>
                <a:bodyPr rot="0" spcFirstLastPara="1" vertOverflow="ellipsis" vert="horz" wrap="square" lIns="38100" tIns="19050" rIns="38100" bIns="19050" anchor="ctr" anchorCtr="1">
                  <a:noAutofit/>
                </a:bodyPr>
                <a:lstStyle/>
                <a:p>
                  <a:pPr>
                    <a:defRPr sz="1100" b="0"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15:layout>
                    <c:manualLayout>
                      <c:w val="7.2617235062244032E-2"/>
                      <c:h val="9.0909090909090912E-2"/>
                    </c:manualLayout>
                  </c15:layout>
                  <c15:showDataLabelsRange val="0"/>
                </c:ext>
                <c:ext xmlns:c16="http://schemas.microsoft.com/office/drawing/2014/chart" uri="{C3380CC4-5D6E-409C-BE32-E72D297353CC}">
                  <c16:uniqueId val="{00000005-A93E-4F1D-8FC0-E171051327F8}"/>
                </c:ext>
              </c:extLst>
            </c:dLbl>
            <c:dLbl>
              <c:idx val="3"/>
              <c:layout>
                <c:manualLayout>
                  <c:x val="-0.10815004575902323"/>
                  <c:y val="-2.8787310677074458E-3"/>
                </c:manualLayout>
              </c:layout>
              <c:tx>
                <c:rich>
                  <a:bodyPr/>
                  <a:lstStyle/>
                  <a:p>
                    <a:r>
                      <a:rPr lang="en-US"/>
                      <a:t>HFCs 1%</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7-A93E-4F1D-8FC0-E171051327F8}"/>
                </c:ext>
              </c:extLst>
            </c:dLbl>
            <c:dLbl>
              <c:idx val="4"/>
              <c:tx>
                <c:rich>
                  <a:bodyPr/>
                  <a:lstStyle/>
                  <a:p>
                    <a:r>
                      <a:rPr lang="en-US"/>
                      <a:t>PFCs</a:t>
                    </a:r>
                    <a:r>
                      <a:rPr lang="en-US" baseline="0"/>
                      <a:t> &lt;1%</a:t>
                    </a:r>
                    <a:endParaRPr lang="en-US"/>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9-A93E-4F1D-8FC0-E171051327F8}"/>
                </c:ext>
              </c:extLst>
            </c:dLbl>
            <c:dLbl>
              <c:idx val="5"/>
              <c:tx>
                <c:rich>
                  <a:bodyPr/>
                  <a:lstStyle/>
                  <a:p>
                    <a:r>
                      <a:rPr lang="en-US"/>
                      <a:t>SF6 &lt;1%</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B-A93E-4F1D-8FC0-E171051327F8}"/>
                </c:ext>
              </c:extLst>
            </c:dLbl>
            <c:dLbl>
              <c:idx val="6"/>
              <c:tx>
                <c:rich>
                  <a:bodyPr/>
                  <a:lstStyle/>
                  <a:p>
                    <a:r>
                      <a:rPr lang="en-US"/>
                      <a:t>NF3 &lt;1%</a:t>
                    </a:r>
                  </a:p>
                </c:rich>
              </c:tx>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D-A93E-4F1D-8FC0-E171051327F8}"/>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'[1]Table 1'!$B$2:$H$2</c:f>
              <c:strCache>
                <c:ptCount val="7"/>
                <c:pt idx="0">
                  <c:v>CO2</c:v>
                </c:pt>
                <c:pt idx="1">
                  <c:v>CH4</c:v>
                </c:pt>
                <c:pt idx="2">
                  <c:v>N2O</c:v>
                </c:pt>
                <c:pt idx="3">
                  <c:v>HFCs</c:v>
                </c:pt>
                <c:pt idx="4">
                  <c:v>PFCs</c:v>
                </c:pt>
                <c:pt idx="5">
                  <c:v>SF6</c:v>
                </c:pt>
                <c:pt idx="6">
                  <c:v>NF3</c:v>
                </c:pt>
              </c:strCache>
            </c:strRef>
          </c:cat>
          <c:val>
            <c:numRef>
              <c:f>'SUMMARY TABLES'!$B$34:$H$34</c:f>
              <c:numCache>
                <c:formatCode>0.00</c:formatCode>
                <c:ptCount val="7"/>
                <c:pt idx="0">
                  <c:v>52.370020189366194</c:v>
                </c:pt>
                <c:pt idx="1">
                  <c:v>17.341420590659393</c:v>
                </c:pt>
                <c:pt idx="2">
                  <c:v>5.9578094654564477</c:v>
                </c:pt>
                <c:pt idx="3">
                  <c:v>0.72973331953218457</c:v>
                </c:pt>
                <c:pt idx="4">
                  <c:v>1.953862194758909E-2</c:v>
                </c:pt>
                <c:pt idx="5">
                  <c:v>9.8122017609491574E-2</c:v>
                </c:pt>
                <c:pt idx="6">
                  <c:v>4.5732848227918775E-3</c:v>
                </c:pt>
              </c:numCache>
            </c:numRef>
          </c:val>
          <c:extLst>
            <c:ext xmlns:c16="http://schemas.microsoft.com/office/drawing/2014/chart" uri="{C3380CC4-5D6E-409C-BE32-E72D297353CC}">
              <c16:uniqueId val="{0000000E-A93E-4F1D-8FC0-E171051327F8}"/>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2585267471782081"/>
          <c:y val="9.7900691335151738E-2"/>
          <c:w val="0.55731317626784371"/>
          <c:h val="0.77404619765666549"/>
        </c:manualLayout>
      </c:layout>
      <c:pieChart>
        <c:varyColors val="1"/>
        <c:ser>
          <c:idx val="0"/>
          <c:order val="0"/>
          <c:tx>
            <c:strRef>
              <c:f>'SUMMARY TABLES'!$A$22:$A$33</c:f>
              <c:strCache>
                <c:ptCount val="12"/>
                <c:pt idx="0">
                  <c:v>Industry</c:v>
                </c:pt>
                <c:pt idx="1">
                  <c:v> - Oil and Gas</c:v>
                </c:pt>
                <c:pt idx="2">
                  <c:v> - Industrial Fuel Combustion</c:v>
                </c:pt>
                <c:pt idx="3">
                  <c:v> - Industrial Processes and Product Use</c:v>
                </c:pt>
                <c:pt idx="4">
                  <c:v> - Coal Mining and Abandoned Mines</c:v>
                </c:pt>
                <c:pt idx="5">
                  <c:v>Transportation</c:v>
                </c:pt>
                <c:pt idx="6">
                  <c:v>Agriculture</c:v>
                </c:pt>
                <c:pt idx="7">
                  <c:v>Electricity Generation</c:v>
                </c:pt>
                <c:pt idx="8">
                  <c:v>Buildings</c:v>
                </c:pt>
                <c:pt idx="9">
                  <c:v> - Residential</c:v>
                </c:pt>
                <c:pt idx="10">
                  <c:v> - Commercial</c:v>
                </c:pt>
                <c:pt idx="11">
                  <c:v>Waste and Materials Management</c:v>
                </c:pt>
              </c:strCache>
            </c:strRef>
          </c:tx>
          <c:spPr>
            <a:ln w="6350"/>
          </c:spPr>
          <c:dPt>
            <c:idx val="0"/>
            <c:bubble3D val="0"/>
            <c:spPr>
              <a:solidFill>
                <a:srgbClr val="026773"/>
              </a:solidFill>
              <a:ln w="6350">
                <a:solidFill>
                  <a:schemeClr val="lt1"/>
                </a:solidFill>
              </a:ln>
              <a:effectLst/>
            </c:spPr>
            <c:extLst>
              <c:ext xmlns:c16="http://schemas.microsoft.com/office/drawing/2014/chart" uri="{C3380CC4-5D6E-409C-BE32-E72D297353CC}">
                <c16:uniqueId val="{00000001-99D3-4723-9DD3-8E02A5BDC546}"/>
              </c:ext>
            </c:extLst>
          </c:dPt>
          <c:dPt>
            <c:idx val="1"/>
            <c:bubble3D val="0"/>
            <c:spPr>
              <a:solidFill>
                <a:srgbClr val="B5CAE7"/>
              </a:solidFill>
              <a:ln w="6350">
                <a:solidFill>
                  <a:schemeClr val="lt1"/>
                </a:solidFill>
              </a:ln>
              <a:effectLst/>
            </c:spPr>
            <c:extLst>
              <c:ext xmlns:c16="http://schemas.microsoft.com/office/drawing/2014/chart" uri="{C3380CC4-5D6E-409C-BE32-E72D297353CC}">
                <c16:uniqueId val="{00000003-99D3-4723-9DD3-8E02A5BDC546}"/>
              </c:ext>
            </c:extLst>
          </c:dPt>
          <c:dPt>
            <c:idx val="2"/>
            <c:bubble3D val="0"/>
            <c:spPr>
              <a:solidFill>
                <a:srgbClr val="215EA7"/>
              </a:solidFill>
              <a:ln w="6350">
                <a:solidFill>
                  <a:schemeClr val="lt1"/>
                </a:solidFill>
              </a:ln>
              <a:effectLst/>
            </c:spPr>
            <c:extLst>
              <c:ext xmlns:c16="http://schemas.microsoft.com/office/drawing/2014/chart" uri="{C3380CC4-5D6E-409C-BE32-E72D297353CC}">
                <c16:uniqueId val="{00000005-99D3-4723-9DD3-8E02A5BDC546}"/>
              </c:ext>
            </c:extLst>
          </c:dPt>
          <c:dPt>
            <c:idx val="3"/>
            <c:bubble3D val="0"/>
            <c:spPr>
              <a:solidFill>
                <a:srgbClr val="F4F1E2"/>
              </a:solidFill>
              <a:ln w="6350">
                <a:solidFill>
                  <a:schemeClr val="lt1"/>
                </a:solidFill>
              </a:ln>
              <a:effectLst/>
            </c:spPr>
            <c:extLst>
              <c:ext xmlns:c16="http://schemas.microsoft.com/office/drawing/2014/chart" uri="{C3380CC4-5D6E-409C-BE32-E72D297353CC}">
                <c16:uniqueId val="{00000007-99D3-4723-9DD3-8E02A5BDC546}"/>
              </c:ext>
            </c:extLst>
          </c:dPt>
          <c:dPt>
            <c:idx val="4"/>
            <c:bubble3D val="0"/>
            <c:spPr>
              <a:solidFill>
                <a:srgbClr val="718C55"/>
              </a:solidFill>
              <a:ln w="6350">
                <a:solidFill>
                  <a:schemeClr val="lt1"/>
                </a:solidFill>
              </a:ln>
              <a:effectLst/>
            </c:spPr>
            <c:extLst>
              <c:ext xmlns:c16="http://schemas.microsoft.com/office/drawing/2014/chart" uri="{C3380CC4-5D6E-409C-BE32-E72D297353CC}">
                <c16:uniqueId val="{00000009-99D3-4723-9DD3-8E02A5BDC546}"/>
              </c:ext>
            </c:extLst>
          </c:dPt>
          <c:dPt>
            <c:idx val="5"/>
            <c:bubble3D val="0"/>
            <c:spPr>
              <a:solidFill>
                <a:srgbClr val="FFA168"/>
              </a:solidFill>
              <a:ln w="6350">
                <a:solidFill>
                  <a:schemeClr val="lt1"/>
                </a:solidFill>
              </a:ln>
              <a:effectLst/>
            </c:spPr>
            <c:extLst>
              <c:ext xmlns:c16="http://schemas.microsoft.com/office/drawing/2014/chart" uri="{C3380CC4-5D6E-409C-BE32-E72D297353CC}">
                <c16:uniqueId val="{0000000B-99D3-4723-9DD3-8E02A5BDC546}"/>
              </c:ext>
            </c:extLst>
          </c:dPt>
          <c:dPt>
            <c:idx val="6"/>
            <c:bubble3D val="0"/>
            <c:spPr>
              <a:solidFill>
                <a:srgbClr val="0D2345"/>
              </a:solidFill>
              <a:ln w="6350">
                <a:solidFill>
                  <a:schemeClr val="lt1"/>
                </a:solidFill>
              </a:ln>
              <a:effectLst/>
            </c:spPr>
            <c:extLst>
              <c:ext xmlns:c16="http://schemas.microsoft.com/office/drawing/2014/chart" uri="{C3380CC4-5D6E-409C-BE32-E72D297353CC}">
                <c16:uniqueId val="{0000000D-99D3-4723-9DD3-8E02A5BDC546}"/>
              </c:ext>
            </c:extLst>
          </c:dPt>
          <c:dPt>
            <c:idx val="7"/>
            <c:bubble3D val="0"/>
            <c:spPr>
              <a:solidFill>
                <a:srgbClr val="008541"/>
              </a:solidFill>
              <a:ln w="6350">
                <a:solidFill>
                  <a:schemeClr val="lt1"/>
                </a:solidFill>
              </a:ln>
              <a:effectLst/>
            </c:spPr>
            <c:extLst>
              <c:ext xmlns:c16="http://schemas.microsoft.com/office/drawing/2014/chart" uri="{C3380CC4-5D6E-409C-BE32-E72D297353CC}">
                <c16:uniqueId val="{0000000F-99D3-4723-9DD3-8E02A5BDC546}"/>
              </c:ext>
            </c:extLst>
          </c:dPt>
          <c:dPt>
            <c:idx val="8"/>
            <c:bubble3D val="0"/>
            <c:spPr>
              <a:solidFill>
                <a:srgbClr val="F1E1C0"/>
              </a:solidFill>
              <a:ln w="6350">
                <a:solidFill>
                  <a:schemeClr val="lt1"/>
                </a:solidFill>
              </a:ln>
              <a:effectLst/>
            </c:spPr>
            <c:extLst>
              <c:ext xmlns:c16="http://schemas.microsoft.com/office/drawing/2014/chart" uri="{C3380CC4-5D6E-409C-BE32-E72D297353CC}">
                <c16:uniqueId val="{00000011-99D3-4723-9DD3-8E02A5BDC546}"/>
              </c:ext>
            </c:extLst>
          </c:dPt>
          <c:dPt>
            <c:idx val="9"/>
            <c:bubble3D val="0"/>
            <c:spPr>
              <a:solidFill>
                <a:srgbClr val="DF7D2A"/>
              </a:solidFill>
              <a:ln w="6350">
                <a:solidFill>
                  <a:schemeClr val="lt1"/>
                </a:solidFill>
              </a:ln>
              <a:effectLst/>
            </c:spPr>
            <c:extLst>
              <c:ext xmlns:c16="http://schemas.microsoft.com/office/drawing/2014/chart" uri="{C3380CC4-5D6E-409C-BE32-E72D297353CC}">
                <c16:uniqueId val="{00000013-99D3-4723-9DD3-8E02A5BDC546}"/>
              </c:ext>
            </c:extLst>
          </c:dPt>
          <c:dLbls>
            <c:dLbl>
              <c:idx val="0"/>
              <c:layout>
                <c:manualLayout>
                  <c:x val="-0.22205972250263589"/>
                  <c:y val="4.9403873535415914E-2"/>
                </c:manualLayout>
              </c:layout>
              <c:tx>
                <c:rich>
                  <a:bodyPr/>
                  <a:lstStyle/>
                  <a:p>
                    <a:r>
                      <a:rPr lang="en-US"/>
                      <a:t>Industry: Oil and Gas 45%</a:t>
                    </a:r>
                  </a:p>
                </c:rich>
              </c:tx>
              <c:dLblPos val="bestFit"/>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1-99D3-4723-9DD3-8E02A5BDC546}"/>
                </c:ext>
              </c:extLst>
            </c:dLbl>
            <c:dLbl>
              <c:idx val="1"/>
              <c:layout>
                <c:manualLayout>
                  <c:x val="0.10050081880790543"/>
                  <c:y val="-5.8186446056988077E-2"/>
                </c:manualLayout>
              </c:layout>
              <c:tx>
                <c:rich>
                  <a:bodyPr/>
                  <a:lstStyle/>
                  <a:p>
                    <a:r>
                      <a:rPr lang="en-US"/>
                      <a:t>Industry: Industrial Fuel Combustion 2%</a:t>
                    </a:r>
                  </a:p>
                </c:rich>
              </c:tx>
              <c:dLblPos val="bestFit"/>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3-99D3-4723-9DD3-8E02A5BDC546}"/>
                </c:ext>
              </c:extLst>
            </c:dLbl>
            <c:dLbl>
              <c:idx val="2"/>
              <c:layout>
                <c:manualLayout>
                  <c:x val="0.11972906431567848"/>
                  <c:y val="0"/>
                </c:manualLayout>
              </c:layout>
              <c:tx>
                <c:rich>
                  <a:bodyPr/>
                  <a:lstStyle/>
                  <a:p>
                    <a:r>
                      <a:rPr lang="en-US"/>
                      <a:t>Industry: Industrial</a:t>
                    </a:r>
                    <a:r>
                      <a:rPr lang="en-US" baseline="0"/>
                      <a:t> Processes and Product Use 2%</a:t>
                    </a:r>
                    <a:endParaRPr lang="en-US"/>
                  </a:p>
                </c:rich>
              </c:tx>
              <c:dLblPos val="bestFit"/>
              <c:showLegendKey val="0"/>
              <c:showVal val="0"/>
              <c:showCatName val="0"/>
              <c:showSerName val="0"/>
              <c:showPercent val="1"/>
              <c:showBubbleSize val="0"/>
              <c:extLst>
                <c:ext xmlns:c15="http://schemas.microsoft.com/office/drawing/2012/chart" uri="{CE6537A1-D6FC-4f65-9D91-7224C49458BB}">
                  <c15:layout>
                    <c:manualLayout>
                      <c:w val="0.40034729232563876"/>
                      <c:h val="0.1178921568627451"/>
                    </c:manualLayout>
                  </c15:layout>
                  <c15:showDataLabelsRange val="0"/>
                </c:ext>
                <c:ext xmlns:c16="http://schemas.microsoft.com/office/drawing/2014/chart" uri="{C3380CC4-5D6E-409C-BE32-E72D297353CC}">
                  <c16:uniqueId val="{00000005-99D3-4723-9DD3-8E02A5BDC546}"/>
                </c:ext>
              </c:extLst>
            </c:dLbl>
            <c:dLbl>
              <c:idx val="3"/>
              <c:layout>
                <c:manualLayout>
                  <c:x val="-0.2607841962661423"/>
                  <c:y val="-5.4466230936820173E-3"/>
                </c:manualLayout>
              </c:layout>
              <c:tx>
                <c:rich>
                  <a:bodyPr/>
                  <a:lstStyle/>
                  <a:p>
                    <a:r>
                      <a:rPr lang="en-US"/>
                      <a:t>Industry: Coal Mining</a:t>
                    </a:r>
                    <a:r>
                      <a:rPr lang="en-US" baseline="0"/>
                      <a:t> and Abandoned Mines &lt;1%</a:t>
                    </a:r>
                    <a:endParaRPr lang="en-US"/>
                  </a:p>
                </c:rich>
              </c:tx>
              <c:dLblPos val="bestFit"/>
              <c:showLegendKey val="0"/>
              <c:showVal val="0"/>
              <c:showCatName val="0"/>
              <c:showSerName val="0"/>
              <c:showPercent val="1"/>
              <c:showBubbleSize val="0"/>
              <c:extLst>
                <c:ext xmlns:c15="http://schemas.microsoft.com/office/drawing/2012/chart" uri="{CE6537A1-D6FC-4f65-9D91-7224C49458BB}">
                  <c15:layout>
                    <c:manualLayout>
                      <c:w val="0.37259615384615385"/>
                      <c:h val="0.11642156862745098"/>
                    </c:manualLayout>
                  </c15:layout>
                  <c15:showDataLabelsRange val="0"/>
                </c:ext>
                <c:ext xmlns:c16="http://schemas.microsoft.com/office/drawing/2014/chart" uri="{C3380CC4-5D6E-409C-BE32-E72D297353CC}">
                  <c16:uniqueId val="{00000007-99D3-4723-9DD3-8E02A5BDC546}"/>
                </c:ext>
              </c:extLst>
            </c:dLbl>
            <c:dLbl>
              <c:idx val="4"/>
              <c:layout>
                <c:manualLayout>
                  <c:x val="0.12095183629954018"/>
                  <c:y val="-0.18768305170280125"/>
                </c:manualLayout>
              </c:layout>
              <c:tx>
                <c:rich>
                  <a:bodyPr rot="0" spcFirstLastPara="1" vertOverflow="ellipsis" vert="horz" wrap="square" lIns="38100" tIns="19050" rIns="38100" bIns="19050" anchor="ctr" anchorCtr="1">
                    <a:noAutofit/>
                  </a:bodyPr>
                  <a:lstStyle/>
                  <a:p>
                    <a:pPr>
                      <a:defRPr sz="1100" b="0" i="0" u="none" strike="noStrike" kern="1200" baseline="0">
                        <a:solidFill>
                          <a:sysClr val="windowText" lastClr="000000"/>
                        </a:solidFill>
                        <a:latin typeface="+mn-lt"/>
                        <a:ea typeface="+mn-ea"/>
                        <a:cs typeface="+mn-cs"/>
                      </a:defRPr>
                    </a:pPr>
                    <a:r>
                      <a:rPr lang="en-US"/>
                      <a:t>Transportation 23%</a:t>
                    </a:r>
                  </a:p>
                </c:rich>
              </c:tx>
              <c:spPr>
                <a:noFill/>
                <a:ln>
                  <a:noFill/>
                </a:ln>
                <a:effectLst/>
              </c:spPr>
              <c:txPr>
                <a:bodyPr rot="0" spcFirstLastPara="1" vertOverflow="ellipsis" vert="horz" wrap="square" lIns="38100" tIns="19050" rIns="38100" bIns="19050" anchor="ctr" anchorCtr="1">
                  <a:noAutofit/>
                </a:bodyPr>
                <a:lstStyle/>
                <a:p>
                  <a:pPr>
                    <a:defRPr sz="1100" b="0" i="0" u="none" strike="noStrike" kern="1200" baseline="0">
                      <a:solidFill>
                        <a:sysClr val="windowText" lastClr="000000"/>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15:layout>
                    <c:manualLayout>
                      <c:w val="0.15318771758719812"/>
                      <c:h val="0.12216604051944485"/>
                    </c:manualLayout>
                  </c15:layout>
                  <c15:showDataLabelsRange val="0"/>
                </c:ext>
                <c:ext xmlns:c16="http://schemas.microsoft.com/office/drawing/2014/chart" uri="{C3380CC4-5D6E-409C-BE32-E72D297353CC}">
                  <c16:uniqueId val="{00000009-99D3-4723-9DD3-8E02A5BDC546}"/>
                </c:ext>
              </c:extLst>
            </c:dLbl>
            <c:dLbl>
              <c:idx val="5"/>
              <c:layout>
                <c:manualLayout>
                  <c:x val="0.16367899925970789"/>
                  <c:y val="3.1312078637229172E-2"/>
                </c:manualLayout>
              </c:layout>
              <c:tx>
                <c:rich>
                  <a:bodyPr/>
                  <a:lstStyle/>
                  <a:p>
                    <a:r>
                      <a:rPr lang="en-US"/>
                      <a:t>Agriculture 13%</a:t>
                    </a:r>
                  </a:p>
                </c:rich>
              </c:tx>
              <c:dLblPos val="bestFit"/>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B-99D3-4723-9DD3-8E02A5BDC546}"/>
                </c:ext>
              </c:extLst>
            </c:dLbl>
            <c:dLbl>
              <c:idx val="6"/>
              <c:layout>
                <c:manualLayout>
                  <c:x val="-5.5939469516833505E-2"/>
                  <c:y val="8.3151922186197338E-2"/>
                </c:manualLayout>
              </c:layout>
              <c:tx>
                <c:rich>
                  <a:bodyPr/>
                  <a:lstStyle/>
                  <a:p>
                    <a:r>
                      <a:rPr lang="en-US"/>
                      <a:t>Electricity Generation 9%</a:t>
                    </a:r>
                  </a:p>
                </c:rich>
              </c:tx>
              <c:dLblPos val="bestFit"/>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D-99D3-4723-9DD3-8E02A5BDC546}"/>
                </c:ext>
              </c:extLst>
            </c:dLbl>
            <c:dLbl>
              <c:idx val="7"/>
              <c:layout>
                <c:manualLayout>
                  <c:x val="-5.9925942750745899E-2"/>
                  <c:y val="5.6465613366956581E-2"/>
                </c:manualLayout>
              </c:layout>
              <c:tx>
                <c:rich>
                  <a:bodyPr/>
                  <a:lstStyle/>
                  <a:p>
                    <a:r>
                      <a:rPr lang="en-US"/>
                      <a:t>Buildings: Residential 3%</a:t>
                    </a:r>
                  </a:p>
                </c:rich>
              </c:tx>
              <c:dLblPos val="bestFit"/>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F-99D3-4723-9DD3-8E02A5BDC546}"/>
                </c:ext>
              </c:extLst>
            </c:dLbl>
            <c:dLbl>
              <c:idx val="8"/>
              <c:layout>
                <c:manualLayout>
                  <c:x val="-5.7789190613993832E-2"/>
                  <c:y val="-1.6159744737790128E-3"/>
                </c:manualLayout>
              </c:layout>
              <c:tx>
                <c:rich>
                  <a:bodyPr/>
                  <a:lstStyle/>
                  <a:p>
                    <a:r>
                      <a:rPr lang="en-US"/>
                      <a:t>Buildings:</a:t>
                    </a:r>
                    <a:r>
                      <a:rPr lang="en-US" baseline="0"/>
                      <a:t> Commercial 2%</a:t>
                    </a:r>
                    <a:endParaRPr lang="en-US"/>
                  </a:p>
                </c:rich>
              </c:tx>
              <c:dLblPos val="bestFit"/>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11-99D3-4723-9DD3-8E02A5BDC546}"/>
                </c:ext>
              </c:extLst>
            </c:dLbl>
            <c:dLbl>
              <c:idx val="9"/>
              <c:layout>
                <c:manualLayout>
                  <c:x val="0.1092331807882989"/>
                  <c:y val="-1.6254953424939531E-2"/>
                </c:manualLayout>
              </c:layout>
              <c:tx>
                <c:rich>
                  <a:bodyPr/>
                  <a:lstStyle/>
                  <a:p>
                    <a:r>
                      <a:rPr lang="en-US"/>
                      <a:t>Waste 1%</a:t>
                    </a:r>
                  </a:p>
                </c:rich>
              </c:tx>
              <c:dLblPos val="bestFit"/>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13-99D3-4723-9DD3-8E02A5BDC546}"/>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Ref>
              <c:f>('SUMMARY TABLES'!$I$23:$I$29,'SUMMARY TABLES'!$I$31:$I$33)</c:f>
              <c:numCache>
                <c:formatCode>0.00</c:formatCode>
                <c:ptCount val="10"/>
                <c:pt idx="0">
                  <c:v>34.317708792404467</c:v>
                </c:pt>
                <c:pt idx="1">
                  <c:v>1.5933743241633531</c:v>
                </c:pt>
                <c:pt idx="2">
                  <c:v>1.5248924342776722</c:v>
                </c:pt>
                <c:pt idx="3">
                  <c:v>8.0559261928548995E-2</c:v>
                </c:pt>
                <c:pt idx="4">
                  <c:v>17.235484638808369</c:v>
                </c:pt>
                <c:pt idx="5">
                  <c:v>10.071883038896658</c:v>
                </c:pt>
                <c:pt idx="6">
                  <c:v>6.5986416828399417</c:v>
                </c:pt>
                <c:pt idx="7">
                  <c:v>2.3511232457563533</c:v>
                </c:pt>
                <c:pt idx="8">
                  <c:v>1.6992041617221791</c:v>
                </c:pt>
                <c:pt idx="9">
                  <c:v>1.0483459085965445</c:v>
                </c:pt>
              </c:numCache>
            </c:numRef>
          </c:val>
          <c:extLst>
            <c:ext xmlns:c16="http://schemas.microsoft.com/office/drawing/2014/chart" uri="{C3380CC4-5D6E-409C-BE32-E72D297353CC}">
              <c16:uniqueId val="{00000014-99D3-4723-9DD3-8E02A5BDC546}"/>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chart>
  <c:spPr>
    <a:solidFill>
      <a:schemeClr val="bg1"/>
    </a:solidFill>
    <a:ln w="9525" cap="flat" cmpd="sng" algn="ctr">
      <a:solidFill>
        <a:srgbClr val="E8E8E8"/>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290943712525884"/>
          <c:y val="5.0925907361509419E-2"/>
          <c:w val="0.49747394062140782"/>
          <c:h val="0.80926734861936844"/>
        </c:manualLayout>
      </c:layout>
      <c:barChart>
        <c:barDir val="col"/>
        <c:grouping val="stacked"/>
        <c:varyColors val="0"/>
        <c:ser>
          <c:idx val="1"/>
          <c:order val="0"/>
          <c:tx>
            <c:strRef>
              <c:f>'SUMMARY TABLES'!$H$40</c:f>
              <c:strCache>
                <c:ptCount val="1"/>
                <c:pt idx="0">
                  <c:v>Industry: Oil and Gas Production</c:v>
                </c:pt>
              </c:strCache>
            </c:strRef>
          </c:tx>
          <c:spPr>
            <a:solidFill>
              <a:srgbClr val="026773"/>
            </a:solidFill>
            <a:ln w="6350">
              <a:solidFill>
                <a:schemeClr val="bg1"/>
              </a:solidFill>
            </a:ln>
            <a:effectLst/>
          </c:spPr>
          <c:invertIfNegative val="0"/>
          <c:cat>
            <c:numRef>
              <c:f>('[1]Table 2'!$B$1,'[1]Table 2'!$D$1:$E$1)</c:f>
              <c:numCache>
                <c:formatCode>General</c:formatCode>
                <c:ptCount val="3"/>
                <c:pt idx="0">
                  <c:v>2005</c:v>
                </c:pt>
                <c:pt idx="1">
                  <c:v>2021</c:v>
                </c:pt>
                <c:pt idx="2">
                  <c:v>2023</c:v>
                </c:pt>
              </c:numCache>
            </c:numRef>
          </c:cat>
          <c:val>
            <c:numRef>
              <c:f>('SUMMARY TABLES'!$B$41,'SUMMARY TABLES'!$D$41:$E$41)</c:f>
              <c:numCache>
                <c:formatCode>0.00</c:formatCode>
                <c:ptCount val="3"/>
                <c:pt idx="0">
                  <c:v>38.82</c:v>
                </c:pt>
                <c:pt idx="1">
                  <c:v>34.39</c:v>
                </c:pt>
                <c:pt idx="2">
                  <c:v>34.317708792404467</c:v>
                </c:pt>
              </c:numCache>
            </c:numRef>
          </c:val>
          <c:extLst>
            <c:ext xmlns:c16="http://schemas.microsoft.com/office/drawing/2014/chart" uri="{C3380CC4-5D6E-409C-BE32-E72D297353CC}">
              <c16:uniqueId val="{00000000-E75D-479F-A9A5-D4B0C7F196F6}"/>
            </c:ext>
          </c:extLst>
        </c:ser>
        <c:ser>
          <c:idx val="2"/>
          <c:order val="1"/>
          <c:tx>
            <c:strRef>
              <c:f>'SUMMARY TABLES'!$H$41</c:f>
              <c:strCache>
                <c:ptCount val="1"/>
                <c:pt idx="0">
                  <c:v>Industry: Industrial Fuel Combusion</c:v>
                </c:pt>
              </c:strCache>
            </c:strRef>
          </c:tx>
          <c:spPr>
            <a:solidFill>
              <a:srgbClr val="B5CAE7"/>
            </a:solidFill>
            <a:ln w="6350">
              <a:solidFill>
                <a:schemeClr val="bg1"/>
              </a:solidFill>
            </a:ln>
            <a:effectLst/>
          </c:spPr>
          <c:invertIfNegative val="0"/>
          <c:cat>
            <c:numRef>
              <c:f>('[1]Table 2'!$B$1,'[1]Table 2'!$D$1:$E$1)</c:f>
              <c:numCache>
                <c:formatCode>General</c:formatCode>
                <c:ptCount val="3"/>
                <c:pt idx="0">
                  <c:v>2005</c:v>
                </c:pt>
                <c:pt idx="1">
                  <c:v>2021</c:v>
                </c:pt>
                <c:pt idx="2">
                  <c:v>2023</c:v>
                </c:pt>
              </c:numCache>
            </c:numRef>
          </c:cat>
          <c:val>
            <c:numRef>
              <c:f>('SUMMARY TABLES'!$B$42,'SUMMARY TABLES'!$D$42:$E$42)</c:f>
              <c:numCache>
                <c:formatCode>0.00</c:formatCode>
                <c:ptCount val="3"/>
                <c:pt idx="0">
                  <c:v>4.68</c:v>
                </c:pt>
                <c:pt idx="1">
                  <c:v>3.63</c:v>
                </c:pt>
                <c:pt idx="2">
                  <c:v>1.5933743241633531</c:v>
                </c:pt>
              </c:numCache>
            </c:numRef>
          </c:val>
          <c:extLst>
            <c:ext xmlns:c16="http://schemas.microsoft.com/office/drawing/2014/chart" uri="{C3380CC4-5D6E-409C-BE32-E72D297353CC}">
              <c16:uniqueId val="{00000001-E75D-479F-A9A5-D4B0C7F196F6}"/>
            </c:ext>
          </c:extLst>
        </c:ser>
        <c:ser>
          <c:idx val="3"/>
          <c:order val="2"/>
          <c:tx>
            <c:strRef>
              <c:f>'SUMMARY TABLES'!$H$42</c:f>
              <c:strCache>
                <c:ptCount val="1"/>
                <c:pt idx="0">
                  <c:v>Industry: Industrial Processes and Product Use</c:v>
                </c:pt>
              </c:strCache>
            </c:strRef>
          </c:tx>
          <c:spPr>
            <a:solidFill>
              <a:srgbClr val="215EA7"/>
            </a:solidFill>
            <a:ln w="6350">
              <a:solidFill>
                <a:schemeClr val="bg1"/>
              </a:solidFill>
            </a:ln>
            <a:effectLst/>
          </c:spPr>
          <c:invertIfNegative val="0"/>
          <c:cat>
            <c:numRef>
              <c:f>('[1]Table 2'!$B$1,'[1]Table 2'!$D$1:$E$1)</c:f>
              <c:numCache>
                <c:formatCode>General</c:formatCode>
                <c:ptCount val="3"/>
                <c:pt idx="0">
                  <c:v>2005</c:v>
                </c:pt>
                <c:pt idx="1">
                  <c:v>2021</c:v>
                </c:pt>
                <c:pt idx="2">
                  <c:v>2023</c:v>
                </c:pt>
              </c:numCache>
            </c:numRef>
          </c:cat>
          <c:val>
            <c:numRef>
              <c:f>('SUMMARY TABLES'!$B$43,'SUMMARY TABLES'!$D$43:$E$43)</c:f>
              <c:numCache>
                <c:formatCode>0.00</c:formatCode>
                <c:ptCount val="3"/>
                <c:pt idx="0">
                  <c:v>2.5299999999999998</c:v>
                </c:pt>
                <c:pt idx="1">
                  <c:v>1.48</c:v>
                </c:pt>
                <c:pt idx="2">
                  <c:v>1.5248924342776722</c:v>
                </c:pt>
              </c:numCache>
            </c:numRef>
          </c:val>
          <c:extLst>
            <c:ext xmlns:c16="http://schemas.microsoft.com/office/drawing/2014/chart" uri="{C3380CC4-5D6E-409C-BE32-E72D297353CC}">
              <c16:uniqueId val="{00000002-E75D-479F-A9A5-D4B0C7F196F6}"/>
            </c:ext>
          </c:extLst>
        </c:ser>
        <c:ser>
          <c:idx val="4"/>
          <c:order val="3"/>
          <c:tx>
            <c:strRef>
              <c:f>'SUMMARY TABLES'!$H$43</c:f>
              <c:strCache>
                <c:ptCount val="1"/>
                <c:pt idx="0">
                  <c:v>Industry: Coal Mining and Abandoned Mines</c:v>
                </c:pt>
              </c:strCache>
            </c:strRef>
          </c:tx>
          <c:spPr>
            <a:solidFill>
              <a:srgbClr val="F4F1E2"/>
            </a:solidFill>
            <a:ln w="6350">
              <a:solidFill>
                <a:schemeClr val="bg1"/>
              </a:solidFill>
            </a:ln>
            <a:effectLst/>
          </c:spPr>
          <c:invertIfNegative val="0"/>
          <c:cat>
            <c:numRef>
              <c:f>('[1]Table 2'!$B$1,'[1]Table 2'!$D$1:$E$1)</c:f>
              <c:numCache>
                <c:formatCode>General</c:formatCode>
                <c:ptCount val="3"/>
                <c:pt idx="0">
                  <c:v>2005</c:v>
                </c:pt>
                <c:pt idx="1">
                  <c:v>2021</c:v>
                </c:pt>
                <c:pt idx="2">
                  <c:v>2023</c:v>
                </c:pt>
              </c:numCache>
            </c:numRef>
          </c:cat>
          <c:val>
            <c:numRef>
              <c:f>('SUMMARY TABLES'!$B$44,'SUMMARY TABLES'!$D$44:$E$44)</c:f>
              <c:numCache>
                <c:formatCode>0.00</c:formatCode>
                <c:ptCount val="3"/>
                <c:pt idx="0">
                  <c:v>1.69</c:v>
                </c:pt>
                <c:pt idx="1">
                  <c:v>0.93</c:v>
                </c:pt>
                <c:pt idx="2">
                  <c:v>8.0559261928548995E-2</c:v>
                </c:pt>
              </c:numCache>
            </c:numRef>
          </c:val>
          <c:extLst>
            <c:ext xmlns:c16="http://schemas.microsoft.com/office/drawing/2014/chart" uri="{C3380CC4-5D6E-409C-BE32-E72D297353CC}">
              <c16:uniqueId val="{00000003-E75D-479F-A9A5-D4B0C7F196F6}"/>
            </c:ext>
          </c:extLst>
        </c:ser>
        <c:ser>
          <c:idx val="5"/>
          <c:order val="4"/>
          <c:tx>
            <c:strRef>
              <c:f>'SUMMARY TABLES'!$H$44</c:f>
              <c:strCache>
                <c:ptCount val="1"/>
                <c:pt idx="0">
                  <c:v>Transportation</c:v>
                </c:pt>
              </c:strCache>
            </c:strRef>
          </c:tx>
          <c:spPr>
            <a:solidFill>
              <a:srgbClr val="718C55"/>
            </a:solidFill>
            <a:ln w="6350">
              <a:solidFill>
                <a:schemeClr val="bg1"/>
              </a:solidFill>
            </a:ln>
            <a:effectLst/>
          </c:spPr>
          <c:invertIfNegative val="0"/>
          <c:cat>
            <c:numRef>
              <c:f>('[1]Table 2'!$B$1,'[1]Table 2'!$D$1:$E$1)</c:f>
              <c:numCache>
                <c:formatCode>General</c:formatCode>
                <c:ptCount val="3"/>
                <c:pt idx="0">
                  <c:v>2005</c:v>
                </c:pt>
                <c:pt idx="1">
                  <c:v>2021</c:v>
                </c:pt>
                <c:pt idx="2">
                  <c:v>2023</c:v>
                </c:pt>
              </c:numCache>
            </c:numRef>
          </c:cat>
          <c:val>
            <c:numRef>
              <c:f>('SUMMARY TABLES'!$B$45,'SUMMARY TABLES'!$D$45:$E$45)</c:f>
              <c:numCache>
                <c:formatCode>0.00</c:formatCode>
                <c:ptCount val="3"/>
                <c:pt idx="0">
                  <c:v>15.85</c:v>
                </c:pt>
                <c:pt idx="1">
                  <c:v>16.77</c:v>
                </c:pt>
                <c:pt idx="2">
                  <c:v>17.235484638808369</c:v>
                </c:pt>
              </c:numCache>
            </c:numRef>
          </c:val>
          <c:extLst>
            <c:ext xmlns:c16="http://schemas.microsoft.com/office/drawing/2014/chart" uri="{C3380CC4-5D6E-409C-BE32-E72D297353CC}">
              <c16:uniqueId val="{00000004-E75D-479F-A9A5-D4B0C7F196F6}"/>
            </c:ext>
          </c:extLst>
        </c:ser>
        <c:ser>
          <c:idx val="6"/>
          <c:order val="5"/>
          <c:tx>
            <c:strRef>
              <c:f>'SUMMARY TABLES'!$H$45</c:f>
              <c:strCache>
                <c:ptCount val="1"/>
                <c:pt idx="0">
                  <c:v>Agriculture</c:v>
                </c:pt>
              </c:strCache>
            </c:strRef>
          </c:tx>
          <c:spPr>
            <a:solidFill>
              <a:srgbClr val="FFA168"/>
            </a:solidFill>
            <a:ln w="6350">
              <a:solidFill>
                <a:schemeClr val="bg1"/>
              </a:solidFill>
            </a:ln>
            <a:effectLst/>
          </c:spPr>
          <c:invertIfNegative val="0"/>
          <c:cat>
            <c:numRef>
              <c:f>('[1]Table 2'!$B$1,'[1]Table 2'!$D$1:$E$1)</c:f>
              <c:numCache>
                <c:formatCode>General</c:formatCode>
                <c:ptCount val="3"/>
                <c:pt idx="0">
                  <c:v>2005</c:v>
                </c:pt>
                <c:pt idx="1">
                  <c:v>2021</c:v>
                </c:pt>
                <c:pt idx="2">
                  <c:v>2023</c:v>
                </c:pt>
              </c:numCache>
            </c:numRef>
          </c:cat>
          <c:val>
            <c:numRef>
              <c:f>('SUMMARY TABLES'!$B$46,'SUMMARY TABLES'!$D$46:$E$46)</c:f>
              <c:numCache>
                <c:formatCode>0.00</c:formatCode>
                <c:ptCount val="3"/>
                <c:pt idx="0">
                  <c:v>11.15</c:v>
                </c:pt>
                <c:pt idx="1">
                  <c:v>10.25</c:v>
                </c:pt>
                <c:pt idx="2">
                  <c:v>10.071883038896658</c:v>
                </c:pt>
              </c:numCache>
            </c:numRef>
          </c:val>
          <c:extLst>
            <c:ext xmlns:c16="http://schemas.microsoft.com/office/drawing/2014/chart" uri="{C3380CC4-5D6E-409C-BE32-E72D297353CC}">
              <c16:uniqueId val="{00000005-E75D-479F-A9A5-D4B0C7F196F6}"/>
            </c:ext>
          </c:extLst>
        </c:ser>
        <c:ser>
          <c:idx val="7"/>
          <c:order val="6"/>
          <c:tx>
            <c:strRef>
              <c:f>'SUMMARY TABLES'!$H$46</c:f>
              <c:strCache>
                <c:ptCount val="1"/>
                <c:pt idx="0">
                  <c:v>Electricity Generation</c:v>
                </c:pt>
              </c:strCache>
            </c:strRef>
          </c:tx>
          <c:spPr>
            <a:solidFill>
              <a:srgbClr val="0D2345"/>
            </a:solidFill>
            <a:ln w="6350">
              <a:solidFill>
                <a:schemeClr val="bg1"/>
              </a:solidFill>
            </a:ln>
            <a:effectLst/>
          </c:spPr>
          <c:invertIfNegative val="0"/>
          <c:cat>
            <c:numRef>
              <c:f>('[1]Table 2'!$B$1,'[1]Table 2'!$D$1:$E$1)</c:f>
              <c:numCache>
                <c:formatCode>General</c:formatCode>
                <c:ptCount val="3"/>
                <c:pt idx="0">
                  <c:v>2005</c:v>
                </c:pt>
                <c:pt idx="1">
                  <c:v>2021</c:v>
                </c:pt>
                <c:pt idx="2">
                  <c:v>2023</c:v>
                </c:pt>
              </c:numCache>
            </c:numRef>
          </c:cat>
          <c:val>
            <c:numRef>
              <c:f>('SUMMARY TABLES'!$B$47,'SUMMARY TABLES'!$D$47:$E$47)</c:f>
              <c:numCache>
                <c:formatCode>0.00</c:formatCode>
                <c:ptCount val="3"/>
                <c:pt idx="0">
                  <c:v>16.329999999999998</c:v>
                </c:pt>
                <c:pt idx="1">
                  <c:v>10.31</c:v>
                </c:pt>
                <c:pt idx="2">
                  <c:v>6.5986416828399417</c:v>
                </c:pt>
              </c:numCache>
            </c:numRef>
          </c:val>
          <c:extLst>
            <c:ext xmlns:c16="http://schemas.microsoft.com/office/drawing/2014/chart" uri="{C3380CC4-5D6E-409C-BE32-E72D297353CC}">
              <c16:uniqueId val="{00000006-E75D-479F-A9A5-D4B0C7F196F6}"/>
            </c:ext>
          </c:extLst>
        </c:ser>
        <c:ser>
          <c:idx val="9"/>
          <c:order val="7"/>
          <c:tx>
            <c:strRef>
              <c:f>'SUMMARY TABLES'!$H$48</c:f>
              <c:strCache>
                <c:ptCount val="1"/>
                <c:pt idx="0">
                  <c:v>Buildings: Residential</c:v>
                </c:pt>
              </c:strCache>
            </c:strRef>
          </c:tx>
          <c:spPr>
            <a:solidFill>
              <a:srgbClr val="008541"/>
            </a:solidFill>
            <a:ln w="6350">
              <a:solidFill>
                <a:schemeClr val="bg1"/>
              </a:solidFill>
            </a:ln>
            <a:effectLst/>
          </c:spPr>
          <c:invertIfNegative val="0"/>
          <c:cat>
            <c:numRef>
              <c:f>('[1]Table 2'!$B$1,'[1]Table 2'!$D$1:$E$1)</c:f>
              <c:numCache>
                <c:formatCode>General</c:formatCode>
                <c:ptCount val="3"/>
                <c:pt idx="0">
                  <c:v>2005</c:v>
                </c:pt>
                <c:pt idx="1">
                  <c:v>2021</c:v>
                </c:pt>
                <c:pt idx="2">
                  <c:v>2023</c:v>
                </c:pt>
              </c:numCache>
            </c:numRef>
          </c:cat>
          <c:val>
            <c:numRef>
              <c:f>('SUMMARY TABLES'!$B$49,'SUMMARY TABLES'!$D$49:$E$49)</c:f>
              <c:numCache>
                <c:formatCode>0.00</c:formatCode>
                <c:ptCount val="3"/>
                <c:pt idx="0">
                  <c:v>2.37</c:v>
                </c:pt>
                <c:pt idx="1">
                  <c:v>2.36</c:v>
                </c:pt>
                <c:pt idx="2">
                  <c:v>2.3511232457563533</c:v>
                </c:pt>
              </c:numCache>
            </c:numRef>
          </c:val>
          <c:extLst>
            <c:ext xmlns:c16="http://schemas.microsoft.com/office/drawing/2014/chart" uri="{C3380CC4-5D6E-409C-BE32-E72D297353CC}">
              <c16:uniqueId val="{00000007-E75D-479F-A9A5-D4B0C7F196F6}"/>
            </c:ext>
          </c:extLst>
        </c:ser>
        <c:ser>
          <c:idx val="10"/>
          <c:order val="8"/>
          <c:tx>
            <c:strRef>
              <c:f>'SUMMARY TABLES'!$H$49</c:f>
              <c:strCache>
                <c:ptCount val="1"/>
                <c:pt idx="0">
                  <c:v>Buildings: Commercial</c:v>
                </c:pt>
              </c:strCache>
            </c:strRef>
          </c:tx>
          <c:spPr>
            <a:solidFill>
              <a:srgbClr val="F1E1C0"/>
            </a:solidFill>
            <a:ln w="6350">
              <a:solidFill>
                <a:schemeClr val="bg1"/>
              </a:solidFill>
            </a:ln>
            <a:effectLst/>
          </c:spPr>
          <c:invertIfNegative val="0"/>
          <c:cat>
            <c:numRef>
              <c:f>('[1]Table 2'!$B$1,'[1]Table 2'!$D$1:$E$1)</c:f>
              <c:numCache>
                <c:formatCode>General</c:formatCode>
                <c:ptCount val="3"/>
                <c:pt idx="0">
                  <c:v>2005</c:v>
                </c:pt>
                <c:pt idx="1">
                  <c:v>2021</c:v>
                </c:pt>
                <c:pt idx="2">
                  <c:v>2023</c:v>
                </c:pt>
              </c:numCache>
            </c:numRef>
          </c:cat>
          <c:val>
            <c:numRef>
              <c:f>('SUMMARY TABLES'!$B$50,'SUMMARY TABLES'!$D$50:$E$50)</c:f>
              <c:numCache>
                <c:formatCode>0.00</c:formatCode>
                <c:ptCount val="3"/>
                <c:pt idx="0">
                  <c:v>1.7</c:v>
                </c:pt>
                <c:pt idx="1">
                  <c:v>1.79</c:v>
                </c:pt>
                <c:pt idx="2">
                  <c:v>1.6992041617221791</c:v>
                </c:pt>
              </c:numCache>
            </c:numRef>
          </c:val>
          <c:extLst>
            <c:ext xmlns:c16="http://schemas.microsoft.com/office/drawing/2014/chart" uri="{C3380CC4-5D6E-409C-BE32-E72D297353CC}">
              <c16:uniqueId val="{00000008-E75D-479F-A9A5-D4B0C7F196F6}"/>
            </c:ext>
          </c:extLst>
        </c:ser>
        <c:ser>
          <c:idx val="11"/>
          <c:order val="9"/>
          <c:tx>
            <c:strRef>
              <c:f>'SUMMARY TABLES'!$H$50</c:f>
              <c:strCache>
                <c:ptCount val="1"/>
                <c:pt idx="0">
                  <c:v>Waste and Materials Management</c:v>
                </c:pt>
              </c:strCache>
            </c:strRef>
          </c:tx>
          <c:spPr>
            <a:solidFill>
              <a:srgbClr val="DF7D2A"/>
            </a:solidFill>
            <a:ln w="6350">
              <a:solidFill>
                <a:schemeClr val="bg1"/>
              </a:solidFill>
            </a:ln>
            <a:effectLst/>
          </c:spPr>
          <c:invertIfNegative val="0"/>
          <c:cat>
            <c:numRef>
              <c:f>('[1]Table 2'!$B$1,'[1]Table 2'!$D$1:$E$1)</c:f>
              <c:numCache>
                <c:formatCode>General</c:formatCode>
                <c:ptCount val="3"/>
                <c:pt idx="0">
                  <c:v>2005</c:v>
                </c:pt>
                <c:pt idx="1">
                  <c:v>2021</c:v>
                </c:pt>
                <c:pt idx="2">
                  <c:v>2023</c:v>
                </c:pt>
              </c:numCache>
            </c:numRef>
          </c:cat>
          <c:val>
            <c:numRef>
              <c:f>('SUMMARY TABLES'!$B$51,'SUMMARY TABLES'!$D$51:$E$51)</c:f>
              <c:numCache>
                <c:formatCode>0.00</c:formatCode>
                <c:ptCount val="3"/>
                <c:pt idx="0">
                  <c:v>1.32</c:v>
                </c:pt>
                <c:pt idx="1">
                  <c:v>1.06</c:v>
                </c:pt>
                <c:pt idx="2">
                  <c:v>1.0483459085965445</c:v>
                </c:pt>
              </c:numCache>
            </c:numRef>
          </c:val>
          <c:extLst>
            <c:ext xmlns:c16="http://schemas.microsoft.com/office/drawing/2014/chart" uri="{C3380CC4-5D6E-409C-BE32-E72D297353CC}">
              <c16:uniqueId val="{00000009-E75D-479F-A9A5-D4B0C7F196F6}"/>
            </c:ext>
          </c:extLst>
        </c:ser>
        <c:dLbls>
          <c:showLegendKey val="0"/>
          <c:showVal val="0"/>
          <c:showCatName val="0"/>
          <c:showSerName val="0"/>
          <c:showPercent val="0"/>
          <c:showBubbleSize val="0"/>
        </c:dLbls>
        <c:gapWidth val="50"/>
        <c:overlap val="100"/>
        <c:axId val="500685152"/>
        <c:axId val="500689952"/>
      </c:barChart>
      <c:catAx>
        <c:axId val="500685152"/>
        <c:scaling>
          <c:orientation val="minMax"/>
        </c:scaling>
        <c:delete val="0"/>
        <c:axPos val="b"/>
        <c:numFmt formatCode="General" sourceLinked="1"/>
        <c:majorTickMark val="out"/>
        <c:minorTickMark val="none"/>
        <c:tickLblPos val="nextTo"/>
        <c:spPr>
          <a:noFill/>
          <a:ln w="9525" cap="flat" cmpd="sng" algn="ctr">
            <a:solidFill>
              <a:srgbClr val="D9D9D9"/>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500689952"/>
        <c:crosses val="autoZero"/>
        <c:auto val="1"/>
        <c:lblAlgn val="ctr"/>
        <c:lblOffset val="100"/>
        <c:noMultiLvlLbl val="0"/>
      </c:catAx>
      <c:valAx>
        <c:axId val="500689952"/>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r>
                  <a:rPr lang="en-US"/>
                  <a:t>Emissions (MMT CO</a:t>
                </a:r>
                <a:r>
                  <a:rPr lang="en-US" baseline="-25000"/>
                  <a:t>2</a:t>
                </a:r>
                <a:r>
                  <a:rPr lang="en-US"/>
                  <a:t>e)</a:t>
                </a:r>
              </a:p>
            </c:rich>
          </c:tx>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500685152"/>
        <c:crosses val="autoZero"/>
        <c:crossBetween val="between"/>
      </c:valAx>
      <c:spPr>
        <a:noFill/>
        <a:ln>
          <a:noFill/>
        </a:ln>
        <a:effectLst/>
      </c:spPr>
    </c:plotArea>
    <c:legend>
      <c:legendPos val="r"/>
      <c:layout>
        <c:manualLayout>
          <c:xMode val="edge"/>
          <c:yMode val="edge"/>
          <c:x val="0.59946744210371294"/>
          <c:y val="5.0343376223616142E-2"/>
          <c:w val="0.39777492898100558"/>
          <c:h val="0.89931288301513446"/>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200">
          <a:solidFill>
            <a:sysClr val="windowText" lastClr="000000"/>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Industry Emissions by Subsector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026773"/>
              </a:solidFill>
              <a:ln w="19050">
                <a:solidFill>
                  <a:schemeClr val="lt1"/>
                </a:solidFill>
              </a:ln>
              <a:effectLst/>
            </c:spPr>
            <c:extLst>
              <c:ext xmlns:c16="http://schemas.microsoft.com/office/drawing/2014/chart" uri="{C3380CC4-5D6E-409C-BE32-E72D297353CC}">
                <c16:uniqueId val="{00000001-E36C-40BB-8756-E4393209C917}"/>
              </c:ext>
            </c:extLst>
          </c:dPt>
          <c:dPt>
            <c:idx val="1"/>
            <c:bubble3D val="0"/>
            <c:spPr>
              <a:solidFill>
                <a:srgbClr val="FFA168"/>
              </a:solidFill>
              <a:ln w="19050">
                <a:solidFill>
                  <a:schemeClr val="lt1"/>
                </a:solidFill>
              </a:ln>
              <a:effectLst/>
            </c:spPr>
            <c:extLst>
              <c:ext xmlns:c16="http://schemas.microsoft.com/office/drawing/2014/chart" uri="{C3380CC4-5D6E-409C-BE32-E72D297353CC}">
                <c16:uniqueId val="{00000003-E36C-40BB-8756-E4393209C917}"/>
              </c:ext>
            </c:extLst>
          </c:dPt>
          <c:dPt>
            <c:idx val="2"/>
            <c:bubble3D val="0"/>
            <c:spPr>
              <a:solidFill>
                <a:srgbClr val="718C55"/>
              </a:solidFill>
              <a:ln w="19050">
                <a:solidFill>
                  <a:schemeClr val="lt1"/>
                </a:solidFill>
              </a:ln>
              <a:effectLst/>
            </c:spPr>
            <c:extLst>
              <c:ext xmlns:c16="http://schemas.microsoft.com/office/drawing/2014/chart" uri="{C3380CC4-5D6E-409C-BE32-E72D297353CC}">
                <c16:uniqueId val="{00000002-E36C-40BB-8756-E4393209C917}"/>
              </c:ext>
            </c:extLst>
          </c:dPt>
          <c:dPt>
            <c:idx val="3"/>
            <c:bubble3D val="0"/>
            <c:spPr>
              <a:solidFill>
                <a:srgbClr val="F1E1C0"/>
              </a:solidFill>
              <a:ln w="19050">
                <a:solidFill>
                  <a:schemeClr val="lt1"/>
                </a:solidFill>
              </a:ln>
              <a:effectLst/>
            </c:spPr>
            <c:extLst>
              <c:ext xmlns:c16="http://schemas.microsoft.com/office/drawing/2014/chart" uri="{C3380CC4-5D6E-409C-BE32-E72D297353CC}">
                <c16:uniqueId val="{00000004-E36C-40BB-8756-E4393209C917}"/>
              </c:ext>
            </c:extLst>
          </c:dPt>
          <c:dLbls>
            <c:dLbl>
              <c:idx val="0"/>
              <c:layout>
                <c:manualLayout>
                  <c:x val="-0.11074578294535613"/>
                  <c:y val="-0.24593978997211755"/>
                </c:manualLayout>
              </c:layout>
              <c:tx>
                <c:rich>
                  <a:bodyPr/>
                  <a:lstStyle/>
                  <a:p>
                    <a:r>
                      <a:rPr lang="en-US">
                        <a:solidFill>
                          <a:schemeClr val="bg1"/>
                        </a:solidFill>
                      </a:rPr>
                      <a:t>Oil and Gas</a:t>
                    </a:r>
                    <a:r>
                      <a:rPr lang="en-US" baseline="0">
                        <a:solidFill>
                          <a:schemeClr val="bg1"/>
                        </a:solidFill>
                      </a:rPr>
                      <a:t>
</a:t>
                    </a:r>
                    <a:fld id="{4166E09E-7303-4250-989F-2ED3DEE37AE5}" type="PERCENTAGE">
                      <a:rPr lang="en-US" baseline="0">
                        <a:solidFill>
                          <a:schemeClr val="bg1"/>
                        </a:solidFill>
                      </a:rPr>
                      <a:pPr/>
                      <a:t>[PERCENTAGE]</a:t>
                    </a:fld>
                    <a:endParaRPr lang="en-US" baseline="0">
                      <a:solidFill>
                        <a:schemeClr val="bg1"/>
                      </a:solidFill>
                    </a:endParaRP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E36C-40BB-8756-E4393209C917}"/>
                </c:ext>
              </c:extLst>
            </c:dLbl>
            <c:dLbl>
              <c:idx val="1"/>
              <c:layout>
                <c:manualLayout>
                  <c:x val="-5.4579766314257448E-2"/>
                  <c:y val="2.8777231660099552E-2"/>
                </c:manualLayout>
              </c:layout>
              <c:tx>
                <c:rich>
                  <a:bodyPr/>
                  <a:lstStyle/>
                  <a:p>
                    <a:r>
                      <a:rPr lang="en-US"/>
                      <a:t>IFC</a:t>
                    </a:r>
                    <a:r>
                      <a:rPr lang="en-US" baseline="0"/>
                      <a:t>
</a:t>
                    </a:r>
                    <a:fld id="{31689CF4-5812-44F0-B810-E147CD035E56}" type="PERCENTAGE">
                      <a:rPr lang="en-US" baseline="0"/>
                      <a:pPr/>
                      <a:t>[PERCENTAGE]</a:t>
                    </a:fld>
                    <a:endParaRPr lang="en-US" baseline="0"/>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E36C-40BB-8756-E4393209C917}"/>
                </c:ext>
              </c:extLst>
            </c:dLbl>
            <c:dLbl>
              <c:idx val="2"/>
              <c:layout>
                <c:manualLayout>
                  <c:x val="-5.4663821227953983E-2"/>
                  <c:y val="1.0128216899660375E-2"/>
                </c:manualLayout>
              </c:layout>
              <c:tx>
                <c:rich>
                  <a:bodyPr/>
                  <a:lstStyle/>
                  <a:p>
                    <a:r>
                      <a:rPr lang="en-US"/>
                      <a:t>IPPU</a:t>
                    </a:r>
                    <a:r>
                      <a:rPr lang="en-US" baseline="0"/>
                      <a:t>
</a:t>
                    </a:r>
                    <a:fld id="{480F32A8-B30E-4B4E-9E8E-D782F0A495BF}" type="PERCENTAGE">
                      <a:rPr lang="en-US" baseline="0"/>
                      <a:pPr/>
                      <a:t>[PERCENTAGE]</a:t>
                    </a:fld>
                    <a:endParaRPr lang="en-US" baseline="0"/>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E36C-40BB-8756-E4393209C917}"/>
                </c:ext>
              </c:extLst>
            </c:dLbl>
            <c:dLbl>
              <c:idx val="3"/>
              <c:layout>
                <c:manualLayout>
                  <c:x val="5.9426496921529667E-2"/>
                  <c:y val="-1.8078910243739359E-2"/>
                </c:manualLayout>
              </c:layout>
              <c:tx>
                <c:rich>
                  <a:bodyPr/>
                  <a:lstStyle/>
                  <a:p>
                    <a:r>
                      <a:rPr lang="en-US"/>
                      <a:t>CMAM&lt;1%</a:t>
                    </a:r>
                  </a:p>
                </c:rich>
              </c:tx>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4-E36C-40BB-8756-E4393209C91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'SUMMARY TABLES'!$H$40:$H$43</c:f>
              <c:strCache>
                <c:ptCount val="4"/>
                <c:pt idx="0">
                  <c:v>Industry: Oil and Gas Production</c:v>
                </c:pt>
                <c:pt idx="1">
                  <c:v>Industry: Industrial Fuel Combusion</c:v>
                </c:pt>
                <c:pt idx="2">
                  <c:v>Industry: Industrial Processes and Product Use</c:v>
                </c:pt>
                <c:pt idx="3">
                  <c:v>Industry: Coal Mining and Abandoned Mines</c:v>
                </c:pt>
              </c:strCache>
            </c:strRef>
          </c:cat>
          <c:val>
            <c:numRef>
              <c:f>'SUMMARY TABLES'!$I$23:$I$26</c:f>
              <c:numCache>
                <c:formatCode>0.00</c:formatCode>
                <c:ptCount val="4"/>
                <c:pt idx="0">
                  <c:v>34.317708792404467</c:v>
                </c:pt>
                <c:pt idx="1">
                  <c:v>1.5933743241633531</c:v>
                </c:pt>
                <c:pt idx="2">
                  <c:v>1.5248924342776722</c:v>
                </c:pt>
                <c:pt idx="3">
                  <c:v>8.0559261928548995E-2</c:v>
                </c:pt>
              </c:numCache>
            </c:numRef>
          </c:val>
          <c:extLst>
            <c:ext xmlns:c16="http://schemas.microsoft.com/office/drawing/2014/chart" uri="{C3380CC4-5D6E-409C-BE32-E72D297353CC}">
              <c16:uniqueId val="{00000000-E36C-40BB-8756-E4393209C917}"/>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rgbClr val="026773"/>
              </a:solidFill>
              <a:ln w="19050">
                <a:solidFill>
                  <a:schemeClr val="lt1"/>
                </a:solidFill>
              </a:ln>
              <a:effectLst/>
            </c:spPr>
            <c:extLst>
              <c:ext xmlns:c16="http://schemas.microsoft.com/office/drawing/2014/chart" uri="{C3380CC4-5D6E-409C-BE32-E72D297353CC}">
                <c16:uniqueId val="{00000001-E9A9-4E3D-866E-A0C4A4B3E145}"/>
              </c:ext>
            </c:extLst>
          </c:dPt>
          <c:dPt>
            <c:idx val="1"/>
            <c:bubble3D val="0"/>
            <c:spPr>
              <a:solidFill>
                <a:srgbClr val="B5CAE7"/>
              </a:solidFill>
              <a:ln w="19050">
                <a:solidFill>
                  <a:schemeClr val="lt1"/>
                </a:solidFill>
              </a:ln>
              <a:effectLst/>
            </c:spPr>
            <c:extLst>
              <c:ext xmlns:c16="http://schemas.microsoft.com/office/drawing/2014/chart" uri="{C3380CC4-5D6E-409C-BE32-E72D297353CC}">
                <c16:uniqueId val="{00000002-E9A9-4E3D-866E-A0C4A4B3E145}"/>
              </c:ext>
            </c:extLst>
          </c:dPt>
          <c:dPt>
            <c:idx val="2"/>
            <c:bubble3D val="0"/>
            <c:spPr>
              <a:solidFill>
                <a:srgbClr val="215EA7"/>
              </a:solidFill>
              <a:ln w="19050">
                <a:solidFill>
                  <a:schemeClr val="lt1"/>
                </a:solidFill>
              </a:ln>
              <a:effectLst/>
            </c:spPr>
            <c:extLst>
              <c:ext xmlns:c16="http://schemas.microsoft.com/office/drawing/2014/chart" uri="{C3380CC4-5D6E-409C-BE32-E72D297353CC}">
                <c16:uniqueId val="{00000003-E9A9-4E3D-866E-A0C4A4B3E14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A-E9A9-4E3D-866E-A0C4A4B3E145}"/>
              </c:ext>
            </c:extLst>
          </c:dPt>
          <c:dPt>
            <c:idx val="4"/>
            <c:bubble3D val="0"/>
            <c:spPr>
              <a:solidFill>
                <a:srgbClr val="718C55"/>
              </a:solidFill>
              <a:ln w="19050">
                <a:solidFill>
                  <a:schemeClr val="lt1"/>
                </a:solidFill>
              </a:ln>
              <a:effectLst/>
            </c:spPr>
            <c:extLst>
              <c:ext xmlns:c16="http://schemas.microsoft.com/office/drawing/2014/chart" uri="{C3380CC4-5D6E-409C-BE32-E72D297353CC}">
                <c16:uniqueId val="{00000004-E9A9-4E3D-866E-A0C4A4B3E145}"/>
              </c:ext>
            </c:extLst>
          </c:dPt>
          <c:dPt>
            <c:idx val="5"/>
            <c:bubble3D val="0"/>
            <c:spPr>
              <a:solidFill>
                <a:srgbClr val="FFA168"/>
              </a:solidFill>
              <a:ln w="19050">
                <a:solidFill>
                  <a:schemeClr val="lt1"/>
                </a:solidFill>
              </a:ln>
              <a:effectLst/>
            </c:spPr>
            <c:extLst>
              <c:ext xmlns:c16="http://schemas.microsoft.com/office/drawing/2014/chart" uri="{C3380CC4-5D6E-409C-BE32-E72D297353CC}">
                <c16:uniqueId val="{00000005-E9A9-4E3D-866E-A0C4A4B3E145}"/>
              </c:ext>
            </c:extLst>
          </c:dPt>
          <c:dPt>
            <c:idx val="6"/>
            <c:bubble3D val="0"/>
            <c:spPr>
              <a:solidFill>
                <a:srgbClr val="0D2345"/>
              </a:solidFill>
              <a:ln w="19050">
                <a:solidFill>
                  <a:schemeClr val="lt1"/>
                </a:solidFill>
              </a:ln>
              <a:effectLst/>
            </c:spPr>
            <c:extLst>
              <c:ext xmlns:c16="http://schemas.microsoft.com/office/drawing/2014/chart" uri="{C3380CC4-5D6E-409C-BE32-E72D297353CC}">
                <c16:uniqueId val="{00000006-E9A9-4E3D-866E-A0C4A4B3E145}"/>
              </c:ext>
            </c:extLst>
          </c:dPt>
          <c:dPt>
            <c:idx val="7"/>
            <c:bubble3D val="0"/>
            <c:spPr>
              <a:solidFill>
                <a:srgbClr val="008541"/>
              </a:solidFill>
              <a:ln w="19050">
                <a:solidFill>
                  <a:schemeClr val="lt1"/>
                </a:solidFill>
              </a:ln>
              <a:effectLst/>
            </c:spPr>
            <c:extLst>
              <c:ext xmlns:c16="http://schemas.microsoft.com/office/drawing/2014/chart" uri="{C3380CC4-5D6E-409C-BE32-E72D297353CC}">
                <c16:uniqueId val="{00000007-E9A9-4E3D-866E-A0C4A4B3E145}"/>
              </c:ext>
            </c:extLst>
          </c:dPt>
          <c:dPt>
            <c:idx val="8"/>
            <c:bubble3D val="0"/>
            <c:spPr>
              <a:solidFill>
                <a:srgbClr val="F1E1C0"/>
              </a:solidFill>
              <a:ln w="19050">
                <a:solidFill>
                  <a:schemeClr val="lt1"/>
                </a:solidFill>
              </a:ln>
              <a:effectLst/>
            </c:spPr>
            <c:extLst>
              <c:ext xmlns:c16="http://schemas.microsoft.com/office/drawing/2014/chart" uri="{C3380CC4-5D6E-409C-BE32-E72D297353CC}">
                <c16:uniqueId val="{00000008-E9A9-4E3D-866E-A0C4A4B3E145}"/>
              </c:ext>
            </c:extLst>
          </c:dPt>
          <c:dPt>
            <c:idx val="9"/>
            <c:bubble3D val="0"/>
            <c:spPr>
              <a:solidFill>
                <a:srgbClr val="DF7D2A"/>
              </a:solidFill>
              <a:ln w="19050">
                <a:solidFill>
                  <a:schemeClr val="lt1"/>
                </a:solidFill>
              </a:ln>
              <a:effectLst/>
            </c:spPr>
            <c:extLst>
              <c:ext xmlns:c16="http://schemas.microsoft.com/office/drawing/2014/chart" uri="{C3380CC4-5D6E-409C-BE32-E72D297353CC}">
                <c16:uniqueId val="{00000009-E9A9-4E3D-866E-A0C4A4B3E145}"/>
              </c:ext>
            </c:extLst>
          </c:dPt>
          <c:dLbls>
            <c:dLbl>
              <c:idx val="0"/>
              <c:layout>
                <c:manualLayout>
                  <c:x val="-0.20806707711721908"/>
                  <c:y val="3.0560042447588805E-2"/>
                </c:manualLayout>
              </c:layout>
              <c:tx>
                <c:rich>
                  <a:bodyPr/>
                  <a:lstStyle/>
                  <a:p>
                    <a:r>
                      <a:rPr lang="en-US" baseline="0"/>
                      <a:t>Industry: Oil and Gas
</a:t>
                    </a:r>
                    <a:fld id="{42A7AADC-22E9-4B59-9956-C7F079D5B312}" type="PERCENTAGE">
                      <a:rPr lang="en-US" baseline="0"/>
                      <a:pPr/>
                      <a:t>[PERCENTAGE]</a:t>
                    </a:fld>
                    <a:endParaRPr lang="en-US" baseline="0"/>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E9A9-4E3D-866E-A0C4A4B3E145}"/>
                </c:ext>
              </c:extLst>
            </c:dLbl>
            <c:dLbl>
              <c:idx val="1"/>
              <c:layout>
                <c:manualLayout>
                  <c:x val="0.11109888215645906"/>
                  <c:y val="-6.2624718628792597E-2"/>
                </c:manualLayout>
              </c:layout>
              <c:tx>
                <c:rich>
                  <a:bodyPr/>
                  <a:lstStyle/>
                  <a:p>
                    <a:fld id="{E7E0F68A-A245-4925-9E6F-BDE60DF8C3A2}" type="CATEGORYNAME">
                      <a:rPr lang="en-US"/>
                      <a:pPr/>
                      <a:t>[CATEGORY NAME]</a:t>
                    </a:fld>
                    <a:r>
                      <a:rPr lang="en-US" baseline="0"/>
                      <a:t> 2%</a:t>
                    </a:r>
                  </a:p>
                </c:rich>
              </c:tx>
              <c:showLegendKey val="0"/>
              <c:showVal val="0"/>
              <c:showCatName val="1"/>
              <c:showSerName val="0"/>
              <c:showPercent val="1"/>
              <c:showBubbleSize val="0"/>
              <c:extLst>
                <c:ext xmlns:c15="http://schemas.microsoft.com/office/drawing/2012/chart" uri="{CE6537A1-D6FC-4f65-9D91-7224C49458BB}">
                  <c15:layout>
                    <c:manualLayout>
                      <c:w val="0.30220570012391573"/>
                      <c:h val="8.1003721426590999E-2"/>
                    </c:manualLayout>
                  </c15:layout>
                  <c15:dlblFieldTable/>
                  <c15:showDataLabelsRange val="0"/>
                </c:ext>
                <c:ext xmlns:c16="http://schemas.microsoft.com/office/drawing/2014/chart" uri="{C3380CC4-5D6E-409C-BE32-E72D297353CC}">
                  <c16:uniqueId val="{00000002-E9A9-4E3D-866E-A0C4A4B3E145}"/>
                </c:ext>
              </c:extLst>
            </c:dLbl>
            <c:dLbl>
              <c:idx val="2"/>
              <c:layout>
                <c:manualLayout>
                  <c:x val="0.16191656340355226"/>
                  <c:y val="-1.3564986549294124E-3"/>
                </c:manualLayout>
              </c:layout>
              <c:tx>
                <c:rich>
                  <a:bodyPr rot="0" spcFirstLastPara="1" vertOverflow="ellipsis" vert="horz" wrap="square" lIns="38100" tIns="19050" rIns="38100" bIns="19050" anchor="ctr" anchorCtr="1">
                    <a:noAutofit/>
                  </a:bodyPr>
                  <a:lstStyle/>
                  <a:p>
                    <a:pPr>
                      <a:defRPr sz="11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fld id="{CAB29260-EC55-41E1-9B67-42D761D6AD01}" type="CATEGORYNAME">
                      <a:rPr lang="en-US">
                        <a:solidFill>
                          <a:schemeClr val="tx1"/>
                        </a:solidFill>
                      </a:rPr>
                      <a:pPr>
                        <a:defRPr sz="1100">
                          <a:solidFill>
                            <a:schemeClr val="tx1"/>
                          </a:solidFill>
                          <a:latin typeface="Calibri" panose="020F0502020204030204" pitchFamily="34" charset="0"/>
                          <a:ea typeface="Calibri" panose="020F0502020204030204" pitchFamily="34" charset="0"/>
                          <a:cs typeface="Calibri" panose="020F0502020204030204" pitchFamily="34" charset="0"/>
                        </a:defRPr>
                      </a:pPr>
                      <a:t>[CATEGORY NAME]</a:t>
                    </a:fld>
                    <a:r>
                      <a:rPr lang="en-US" baseline="0">
                        <a:solidFill>
                          <a:schemeClr val="tx1"/>
                        </a:solidFill>
                      </a:rPr>
                      <a:t> 2%</a:t>
                    </a:r>
                  </a:p>
                </c:rich>
              </c:tx>
              <c:spPr>
                <a:noFill/>
                <a:ln>
                  <a:noFill/>
                </a:ln>
                <a:effectLst/>
              </c:spPr>
              <c:txPr>
                <a:bodyPr rot="0" spcFirstLastPara="1" vertOverflow="ellipsis" vert="horz" wrap="square" lIns="38100" tIns="19050" rIns="38100" bIns="19050" anchor="ctr" anchorCtr="1">
                  <a:noAutofit/>
                </a:bodyPr>
                <a:lstStyle/>
                <a:p>
                  <a:pPr>
                    <a:defRPr sz="11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38166047087980176"/>
                      <c:h val="9.9694801152954426E-2"/>
                    </c:manualLayout>
                  </c15:layout>
                  <c15:dlblFieldTable/>
                  <c15:showDataLabelsRange val="0"/>
                </c:ext>
                <c:ext xmlns:c16="http://schemas.microsoft.com/office/drawing/2014/chart" uri="{C3380CC4-5D6E-409C-BE32-E72D297353CC}">
                  <c16:uniqueId val="{00000003-E9A9-4E3D-866E-A0C4A4B3E145}"/>
                </c:ext>
              </c:extLst>
            </c:dLbl>
            <c:dLbl>
              <c:idx val="3"/>
              <c:layout>
                <c:manualLayout>
                  <c:x val="-0.27426683188764972"/>
                  <c:y val="0"/>
                </c:manualLayout>
              </c:layout>
              <c:tx>
                <c:rich>
                  <a:bodyPr rot="0" spcFirstLastPara="1" vertOverflow="ellipsis" vert="horz" wrap="square" lIns="38100" tIns="19050" rIns="38100" bIns="19050" anchor="ctr" anchorCtr="1">
                    <a:noAutofit/>
                  </a:bodyPr>
                  <a:lstStyle/>
                  <a:p>
                    <a:pPr>
                      <a:defRPr sz="11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fld id="{E1D842A0-2997-4A5F-BF36-51EEEAB828EB}" type="CATEGORYNAME">
                      <a:rPr lang="en-US">
                        <a:solidFill>
                          <a:schemeClr val="tx1"/>
                        </a:solidFill>
                      </a:rPr>
                      <a:pPr>
                        <a:defRPr sz="1100">
                          <a:solidFill>
                            <a:schemeClr val="tx1"/>
                          </a:solidFill>
                          <a:latin typeface="Calibri" panose="020F0502020204030204" pitchFamily="34" charset="0"/>
                          <a:ea typeface="Calibri" panose="020F0502020204030204" pitchFamily="34" charset="0"/>
                          <a:cs typeface="Calibri" panose="020F0502020204030204" pitchFamily="34" charset="0"/>
                        </a:defRPr>
                      </a:pPr>
                      <a:t>[CATEGORY NAME]</a:t>
                    </a:fld>
                    <a:r>
                      <a:rPr lang="en-US" baseline="0">
                        <a:solidFill>
                          <a:schemeClr val="tx1"/>
                        </a:solidFill>
                      </a:rPr>
                      <a:t> &lt;1%</a:t>
                    </a:r>
                  </a:p>
                </c:rich>
              </c:tx>
              <c:spPr>
                <a:noFill/>
                <a:ln>
                  <a:noFill/>
                </a:ln>
                <a:effectLst/>
              </c:spPr>
              <c:txPr>
                <a:bodyPr rot="0" spcFirstLastPara="1" vertOverflow="ellipsis" vert="horz" wrap="square" lIns="38100" tIns="19050" rIns="38100" bIns="19050" anchor="ctr" anchorCtr="1">
                  <a:noAutofit/>
                </a:bodyPr>
                <a:lstStyle/>
                <a:p>
                  <a:pPr>
                    <a:defRPr sz="11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0.24576621230896323"/>
                      <c:h val="0.10918954411990248"/>
                    </c:manualLayout>
                  </c15:layout>
                  <c15:dlblFieldTable/>
                  <c15:showDataLabelsRange val="0"/>
                </c:ext>
                <c:ext xmlns:c16="http://schemas.microsoft.com/office/drawing/2014/chart" uri="{C3380CC4-5D6E-409C-BE32-E72D297353CC}">
                  <c16:uniqueId val="{0000000A-E9A9-4E3D-866E-A0C4A4B3E145}"/>
                </c:ext>
              </c:extLst>
            </c:dLbl>
            <c:dLbl>
              <c:idx val="4"/>
              <c:layout>
                <c:manualLayout>
                  <c:x val="0.1144609990665665"/>
                  <c:y val="-0.1973599274426481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E9A9-4E3D-866E-A0C4A4B3E145}"/>
                </c:ext>
              </c:extLst>
            </c:dLbl>
            <c:dLbl>
              <c:idx val="5"/>
              <c:layout>
                <c:manualLayout>
                  <c:x val="0.13109803653725441"/>
                  <c:y val="4.262146328834664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9A9-4E3D-866E-A0C4A4B3E145}"/>
                </c:ext>
              </c:extLst>
            </c:dLbl>
            <c:dLbl>
              <c:idx val="6"/>
              <c:layout>
                <c:manualLayout>
                  <c:x val="-4.9089495783287328E-2"/>
                  <c:y val="6.54891618950866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E9A9-4E3D-866E-A0C4A4B3E145}"/>
                </c:ext>
              </c:extLst>
            </c:dLbl>
            <c:dLbl>
              <c:idx val="7"/>
              <c:layout>
                <c:manualLayout>
                  <c:x val="-3.9208890710222558E-2"/>
                  <c:y val="2.9289947021683898E-2"/>
                </c:manualLayout>
              </c:layout>
              <c:tx>
                <c:rich>
                  <a:bodyPr/>
                  <a:lstStyle/>
                  <a:p>
                    <a:r>
                      <a:rPr lang="en-US" baseline="0"/>
                      <a:t>Buildings: Residential 3%</a:t>
                    </a:r>
                    <a:endParaRPr lang="en-US"/>
                  </a:p>
                </c:rich>
              </c:tx>
              <c:showLegendKey val="0"/>
              <c:showVal val="0"/>
              <c:showCatName val="1"/>
              <c:showSerName val="0"/>
              <c:showPercent val="1"/>
              <c:showBubbleSize val="0"/>
              <c:extLst>
                <c:ext xmlns:c15="http://schemas.microsoft.com/office/drawing/2012/chart" uri="{CE6537A1-D6FC-4f65-9D91-7224C49458BB}">
                  <c15:layout>
                    <c:manualLayout>
                      <c:w val="0.18907889301941347"/>
                      <c:h val="8.1003721426590999E-2"/>
                    </c:manualLayout>
                  </c15:layout>
                  <c15:showDataLabelsRange val="0"/>
                </c:ext>
                <c:ext xmlns:c16="http://schemas.microsoft.com/office/drawing/2014/chart" uri="{C3380CC4-5D6E-409C-BE32-E72D297353CC}">
                  <c16:uniqueId val="{00000007-E9A9-4E3D-866E-A0C4A4B3E145}"/>
                </c:ext>
              </c:extLst>
            </c:dLbl>
            <c:dLbl>
              <c:idx val="8"/>
              <c:tx>
                <c:rich>
                  <a:bodyPr/>
                  <a:lstStyle/>
                  <a:p>
                    <a:r>
                      <a:rPr lang="en-US"/>
                      <a:t>Buildings: Commercial</a:t>
                    </a:r>
                    <a:r>
                      <a:rPr lang="en-US" baseline="0"/>
                      <a:t>
</a:t>
                    </a:r>
                    <a:fld id="{ED299A82-192D-4549-9AE7-E6ECCFFC0659}" type="PERCENTAGE">
                      <a:rPr lang="en-US" baseline="0"/>
                      <a:pPr/>
                      <a:t>[PERCENTAGE]</a:t>
                    </a:fld>
                    <a:endParaRPr lang="en-US" baseline="0"/>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8-E9A9-4E3D-866E-A0C4A4B3E145}"/>
                </c:ext>
              </c:extLst>
            </c:dLbl>
            <c:dLbl>
              <c:idx val="9"/>
              <c:layout>
                <c:manualLayout>
                  <c:x val="8.9121759408326742E-2"/>
                  <c:y val="3.390979631052872E-3"/>
                </c:manualLayout>
              </c:layout>
              <c:tx>
                <c:rich>
                  <a:bodyPr/>
                  <a:lstStyle/>
                  <a:p>
                    <a:r>
                      <a:rPr lang="en-US"/>
                      <a:t>Waste</a:t>
                    </a:r>
                    <a:r>
                      <a:rPr lang="en-US" baseline="0"/>
                      <a:t>
</a:t>
                    </a:r>
                    <a:fld id="{D79FAD67-BBF0-410A-AA4B-5361D88DA005}" type="PERCENTAGE">
                      <a:rPr lang="en-US" baseline="0"/>
                      <a:pPr/>
                      <a:t>[PERCENTAGE]</a:t>
                    </a:fld>
                    <a:endParaRPr lang="en-US" baseline="0"/>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E9A9-4E3D-866E-A0C4A4B3E145}"/>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'SUMMARY TABLES'!$H$40:$H$50</c:f>
              <c:strCache>
                <c:ptCount val="11"/>
                <c:pt idx="0">
                  <c:v>Industry: Oil and Gas Production</c:v>
                </c:pt>
                <c:pt idx="1">
                  <c:v>Industry: Industrial Fuel Combusion</c:v>
                </c:pt>
                <c:pt idx="2">
                  <c:v>Industry: Industrial Processes and Product Use</c:v>
                </c:pt>
                <c:pt idx="3">
                  <c:v>Industry: Coal Mining and Abandoned Mines</c:v>
                </c:pt>
                <c:pt idx="4">
                  <c:v>Transportation</c:v>
                </c:pt>
                <c:pt idx="5">
                  <c:v>Agriculture</c:v>
                </c:pt>
                <c:pt idx="6">
                  <c:v>Electricity Generation</c:v>
                </c:pt>
                <c:pt idx="8">
                  <c:v>Buildings: Residential</c:v>
                </c:pt>
                <c:pt idx="9">
                  <c:v>Buildings: Commercial</c:v>
                </c:pt>
                <c:pt idx="10">
                  <c:v>Waste and Materials Management</c:v>
                </c:pt>
              </c:strCache>
            </c:strRef>
          </c:cat>
          <c:val>
            <c:numRef>
              <c:f>('SUMMARY TABLES'!$E$41:$E$47,'SUMMARY TABLES'!$E$49:$E$51)</c:f>
              <c:numCache>
                <c:formatCode>0.00</c:formatCode>
                <c:ptCount val="10"/>
                <c:pt idx="0">
                  <c:v>34.317708792404467</c:v>
                </c:pt>
                <c:pt idx="1">
                  <c:v>1.5933743241633531</c:v>
                </c:pt>
                <c:pt idx="2">
                  <c:v>1.5248924342776722</c:v>
                </c:pt>
                <c:pt idx="3">
                  <c:v>8.0559261928548995E-2</c:v>
                </c:pt>
                <c:pt idx="4">
                  <c:v>17.235484638808369</c:v>
                </c:pt>
                <c:pt idx="5">
                  <c:v>10.071883038896658</c:v>
                </c:pt>
                <c:pt idx="6">
                  <c:v>6.5986416828399417</c:v>
                </c:pt>
                <c:pt idx="7">
                  <c:v>2.3511232457563533</c:v>
                </c:pt>
                <c:pt idx="8">
                  <c:v>1.6992041617221791</c:v>
                </c:pt>
                <c:pt idx="9">
                  <c:v>1.0483459085965445</c:v>
                </c:pt>
              </c:numCache>
            </c:numRef>
          </c:val>
          <c:extLst>
            <c:ext xmlns:c16="http://schemas.microsoft.com/office/drawing/2014/chart" uri="{C3380CC4-5D6E-409C-BE32-E72D297353CC}">
              <c16:uniqueId val="{00000000-E9A9-4E3D-866E-A0C4A4B3E145}"/>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a:t>
            </a:r>
            <a:r>
              <a:rPr lang="en-US" baseline="-25000"/>
              <a:t>2</a:t>
            </a:r>
            <a:r>
              <a:rPr lang="en-US"/>
              <a:t>e Emissions by Fuel Subtype (MMT)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IFC_Summary!$H$3</c:f>
              <c:strCache>
                <c:ptCount val="1"/>
                <c:pt idx="0">
                  <c:v>2023_Total CO2E (MMT)</c:v>
                </c:pt>
              </c:strCache>
            </c:strRef>
          </c:tx>
          <c:dPt>
            <c:idx val="0"/>
            <c:bubble3D val="0"/>
            <c:spPr>
              <a:solidFill>
                <a:srgbClr val="026773"/>
              </a:solidFill>
              <a:ln w="19050">
                <a:solidFill>
                  <a:schemeClr val="lt1"/>
                </a:solidFill>
              </a:ln>
              <a:effectLst/>
            </c:spPr>
            <c:extLst>
              <c:ext xmlns:c16="http://schemas.microsoft.com/office/drawing/2014/chart" uri="{C3380CC4-5D6E-409C-BE32-E72D297353CC}">
                <c16:uniqueId val="{00000001-A5CA-4ACD-B324-244171906A41}"/>
              </c:ext>
            </c:extLst>
          </c:dPt>
          <c:dPt>
            <c:idx val="1"/>
            <c:bubble3D val="0"/>
            <c:spPr>
              <a:solidFill>
                <a:srgbClr val="718C55"/>
              </a:solidFill>
              <a:ln w="19050">
                <a:solidFill>
                  <a:schemeClr val="lt1"/>
                </a:solidFill>
              </a:ln>
              <a:effectLst/>
            </c:spPr>
            <c:extLst>
              <c:ext xmlns:c16="http://schemas.microsoft.com/office/drawing/2014/chart" uri="{C3380CC4-5D6E-409C-BE32-E72D297353CC}">
                <c16:uniqueId val="{00000003-A5CA-4ACD-B324-244171906A41}"/>
              </c:ext>
            </c:extLst>
          </c:dPt>
          <c:dPt>
            <c:idx val="2"/>
            <c:bubble3D val="0"/>
            <c:spPr>
              <a:solidFill>
                <a:srgbClr val="F1E1C0"/>
              </a:solidFill>
              <a:ln w="19050">
                <a:solidFill>
                  <a:schemeClr val="lt1"/>
                </a:solidFill>
              </a:ln>
              <a:effectLst/>
            </c:spPr>
            <c:extLst>
              <c:ext xmlns:c16="http://schemas.microsoft.com/office/drawing/2014/chart" uri="{C3380CC4-5D6E-409C-BE32-E72D297353CC}">
                <c16:uniqueId val="{00000005-A5CA-4ACD-B324-244171906A41}"/>
              </c:ext>
            </c:extLst>
          </c:dPt>
          <c:dPt>
            <c:idx val="3"/>
            <c:bubble3D val="0"/>
            <c:spPr>
              <a:solidFill>
                <a:srgbClr val="FF0000"/>
              </a:solidFill>
              <a:ln w="19050">
                <a:solidFill>
                  <a:schemeClr val="lt1"/>
                </a:solidFill>
              </a:ln>
              <a:effectLst/>
            </c:spPr>
            <c:extLst>
              <c:ext xmlns:c16="http://schemas.microsoft.com/office/drawing/2014/chart" uri="{C3380CC4-5D6E-409C-BE32-E72D297353CC}">
                <c16:uniqueId val="{00000007-A5CA-4ACD-B324-244171906A41}"/>
              </c:ext>
            </c:extLst>
          </c:dPt>
          <c:dPt>
            <c:idx val="4"/>
            <c:bubble3D val="0"/>
            <c:spPr>
              <a:solidFill>
                <a:srgbClr val="9966FF"/>
              </a:solidFill>
              <a:ln w="19050">
                <a:solidFill>
                  <a:schemeClr val="lt1"/>
                </a:solidFill>
              </a:ln>
              <a:effectLst/>
            </c:spPr>
            <c:extLst>
              <c:ext xmlns:c16="http://schemas.microsoft.com/office/drawing/2014/chart" uri="{C3380CC4-5D6E-409C-BE32-E72D297353CC}">
                <c16:uniqueId val="{00000009-A5CA-4ACD-B324-244171906A4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A5CA-4ACD-B324-244171906A41}"/>
              </c:ext>
            </c:extLst>
          </c:dPt>
          <c:dPt>
            <c:idx val="6"/>
            <c:bubble3D val="0"/>
            <c:spPr>
              <a:solidFill>
                <a:schemeClr val="accent5">
                  <a:lumMod val="60000"/>
                  <a:lumOff val="40000"/>
                </a:schemeClr>
              </a:solidFill>
              <a:ln w="19050">
                <a:solidFill>
                  <a:schemeClr val="lt1"/>
                </a:solidFill>
              </a:ln>
              <a:effectLst/>
            </c:spPr>
            <c:extLst>
              <c:ext xmlns:c16="http://schemas.microsoft.com/office/drawing/2014/chart" uri="{C3380CC4-5D6E-409C-BE32-E72D297353CC}">
                <c16:uniqueId val="{0000000D-A5CA-4ACD-B324-244171906A41}"/>
              </c:ext>
            </c:extLst>
          </c:dPt>
          <c:dPt>
            <c:idx val="7"/>
            <c:bubble3D val="0"/>
            <c:spPr>
              <a:solidFill>
                <a:srgbClr val="DF7D2A"/>
              </a:solidFill>
              <a:ln w="19050">
                <a:solidFill>
                  <a:schemeClr val="lt1"/>
                </a:solidFill>
              </a:ln>
              <a:effectLst/>
            </c:spPr>
            <c:extLst>
              <c:ext xmlns:c16="http://schemas.microsoft.com/office/drawing/2014/chart" uri="{C3380CC4-5D6E-409C-BE32-E72D297353CC}">
                <c16:uniqueId val="{0000000F-A5CA-4ACD-B324-244171906A41}"/>
              </c:ext>
            </c:extLst>
          </c:dPt>
          <c:dPt>
            <c:idx val="8"/>
            <c:bubble3D val="0"/>
            <c:spPr>
              <a:solidFill>
                <a:srgbClr val="0D2345"/>
              </a:solidFill>
              <a:ln w="19050">
                <a:solidFill>
                  <a:schemeClr val="lt1"/>
                </a:solidFill>
              </a:ln>
              <a:effectLst/>
            </c:spPr>
            <c:extLst>
              <c:ext xmlns:c16="http://schemas.microsoft.com/office/drawing/2014/chart" uri="{C3380CC4-5D6E-409C-BE32-E72D297353CC}">
                <c16:uniqueId val="{00000011-A5CA-4ACD-B324-244171906A41}"/>
              </c:ext>
            </c:extLst>
          </c:dPt>
          <c:dPt>
            <c:idx val="9"/>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3-A5CA-4ACD-B324-244171906A41}"/>
              </c:ext>
            </c:extLst>
          </c:dPt>
          <c:dPt>
            <c:idx val="10"/>
            <c:bubble3D val="0"/>
            <c:spPr>
              <a:solidFill>
                <a:srgbClr val="F4F1E2"/>
              </a:solidFill>
              <a:ln w="19050">
                <a:solidFill>
                  <a:schemeClr val="lt1"/>
                </a:solidFill>
              </a:ln>
              <a:effectLst/>
            </c:spPr>
            <c:extLst>
              <c:ext xmlns:c16="http://schemas.microsoft.com/office/drawing/2014/chart" uri="{C3380CC4-5D6E-409C-BE32-E72D297353CC}">
                <c16:uniqueId val="{00000015-A5CA-4ACD-B324-244171906A41}"/>
              </c:ext>
            </c:extLst>
          </c:dPt>
          <c:dPt>
            <c:idx val="11"/>
            <c:bubble3D val="0"/>
            <c:spPr>
              <a:solidFill>
                <a:srgbClr val="B5CAE7"/>
              </a:solidFill>
              <a:ln w="19050">
                <a:solidFill>
                  <a:schemeClr val="lt1"/>
                </a:solidFill>
              </a:ln>
              <a:effectLst/>
            </c:spPr>
            <c:extLst>
              <c:ext xmlns:c16="http://schemas.microsoft.com/office/drawing/2014/chart" uri="{C3380CC4-5D6E-409C-BE32-E72D297353CC}">
                <c16:uniqueId val="{00000017-A5CA-4ACD-B324-244171906A41}"/>
              </c:ext>
            </c:extLst>
          </c:dPt>
          <c:dPt>
            <c:idx val="12"/>
            <c:bubble3D val="0"/>
            <c:spPr>
              <a:solidFill>
                <a:srgbClr val="215EA7"/>
              </a:solidFill>
              <a:ln w="19050">
                <a:solidFill>
                  <a:schemeClr val="lt1"/>
                </a:solidFill>
              </a:ln>
              <a:effectLst/>
            </c:spPr>
            <c:extLst>
              <c:ext xmlns:c16="http://schemas.microsoft.com/office/drawing/2014/chart" uri="{C3380CC4-5D6E-409C-BE32-E72D297353CC}">
                <c16:uniqueId val="{00000019-A5CA-4ACD-B324-244171906A41}"/>
              </c:ext>
            </c:extLst>
          </c:dPt>
          <c:dPt>
            <c:idx val="13"/>
            <c:bubble3D val="0"/>
            <c:spPr>
              <a:solidFill>
                <a:srgbClr val="FFA168"/>
              </a:solidFill>
              <a:ln w="19050">
                <a:solidFill>
                  <a:schemeClr val="lt1"/>
                </a:solidFill>
              </a:ln>
              <a:effectLst/>
            </c:spPr>
            <c:extLst>
              <c:ext xmlns:c16="http://schemas.microsoft.com/office/drawing/2014/chart" uri="{C3380CC4-5D6E-409C-BE32-E72D297353CC}">
                <c16:uniqueId val="{0000001B-A5CA-4ACD-B324-244171906A41}"/>
              </c:ext>
            </c:extLst>
          </c:dPt>
          <c:dPt>
            <c:idx val="14"/>
            <c:bubble3D val="0"/>
            <c:spPr>
              <a:solidFill>
                <a:srgbClr val="663300"/>
              </a:solidFill>
              <a:ln w="19050">
                <a:solidFill>
                  <a:schemeClr val="lt1"/>
                </a:solidFill>
              </a:ln>
              <a:effectLst/>
            </c:spPr>
            <c:extLst>
              <c:ext xmlns:c16="http://schemas.microsoft.com/office/drawing/2014/chart" uri="{C3380CC4-5D6E-409C-BE32-E72D297353CC}">
                <c16:uniqueId val="{0000001D-A5CA-4ACD-B324-244171906A41}"/>
              </c:ext>
            </c:extLst>
          </c:dPt>
          <c:dPt>
            <c:idx val="15"/>
            <c:bubble3D val="0"/>
            <c:spPr>
              <a:solidFill>
                <a:srgbClr val="7030A0"/>
              </a:solidFill>
              <a:ln w="19050">
                <a:solidFill>
                  <a:schemeClr val="lt1"/>
                </a:solidFill>
              </a:ln>
              <a:effectLst/>
            </c:spPr>
            <c:extLst>
              <c:ext xmlns:c16="http://schemas.microsoft.com/office/drawing/2014/chart" uri="{C3380CC4-5D6E-409C-BE32-E72D297353CC}">
                <c16:uniqueId val="{0000001F-A5CA-4ACD-B324-244171906A41}"/>
              </c:ext>
            </c:extLst>
          </c:dPt>
          <c:cat>
            <c:strRef>
              <c:f>IFC_Summary!$B$4:$B$19</c:f>
              <c:strCache>
                <c:ptCount val="16"/>
                <c:pt idx="0">
                  <c:v>Coal</c:v>
                </c:pt>
                <c:pt idx="1">
                  <c:v>Natural Gas</c:v>
                </c:pt>
                <c:pt idx="2">
                  <c:v>Asphalt and road oil</c:v>
                </c:pt>
                <c:pt idx="3">
                  <c:v>Distillate</c:v>
                </c:pt>
                <c:pt idx="4">
                  <c:v>Fuel ethanol</c:v>
                </c:pt>
                <c:pt idx="5">
                  <c:v>HGL</c:v>
                </c:pt>
                <c:pt idx="6">
                  <c:v>Kerosene</c:v>
                </c:pt>
                <c:pt idx="7">
                  <c:v>Lubricants</c:v>
                </c:pt>
                <c:pt idx="8">
                  <c:v>Motor gasoline</c:v>
                </c:pt>
                <c:pt idx="9">
                  <c:v>Misc petroleum products</c:v>
                </c:pt>
                <c:pt idx="10">
                  <c:v>Other petroleum products</c:v>
                </c:pt>
                <c:pt idx="11">
                  <c:v>Petroleum Coke</c:v>
                </c:pt>
                <c:pt idx="12">
                  <c:v>Propane</c:v>
                </c:pt>
                <c:pt idx="13">
                  <c:v>Still Gas</c:v>
                </c:pt>
                <c:pt idx="14">
                  <c:v>Waxes</c:v>
                </c:pt>
                <c:pt idx="15">
                  <c:v>Wood</c:v>
                </c:pt>
              </c:strCache>
            </c:strRef>
          </c:cat>
          <c:val>
            <c:numRef>
              <c:f>IFC_Summary!$H$4:$H$19</c:f>
              <c:numCache>
                <c:formatCode>_(* #,##0.00_);_(* \(#,##0.00\);_(* "-"??_);_(@_)</c:formatCode>
                <c:ptCount val="16"/>
                <c:pt idx="0">
                  <c:v>0.13404770318339865</c:v>
                </c:pt>
                <c:pt idx="1">
                  <c:v>0.5207688527935157</c:v>
                </c:pt>
                <c:pt idx="2" formatCode="_(* #,##0.000_);_(* \(#,##0.000\);_(* &quot;-&quot;??_);_(@_)">
                  <c:v>1.9255612E-3</c:v>
                </c:pt>
                <c:pt idx="3">
                  <c:v>2.6050654561280842E-3</c:v>
                </c:pt>
                <c:pt idx="4">
                  <c:v>0</c:v>
                </c:pt>
                <c:pt idx="5">
                  <c:v>8.4259633843747316E-3</c:v>
                </c:pt>
                <c:pt idx="6" formatCode="_(* #,##0.0000_);_(* \(#,##0.0000\);_(* &quot;-&quot;??_);_(@_)">
                  <c:v>1.4688656000000003E-4</c:v>
                </c:pt>
                <c:pt idx="7" formatCode="_(* #,##0.0000_);_(* \(#,##0.0000\);_(* &quot;-&quot;??_);_(@_)">
                  <c:v>2.2454743999999999E-4</c:v>
                </c:pt>
                <c:pt idx="8">
                  <c:v>0.12286979750293794</c:v>
                </c:pt>
                <c:pt idx="9" formatCode="_(* #,##0.000000_);_(* \(#,##0.000000\);_(* &quot;-&quot;??_);_(@_)">
                  <c:v>3.8924799999999999E-6</c:v>
                </c:pt>
                <c:pt idx="10">
                  <c:v>0</c:v>
                </c:pt>
                <c:pt idx="11">
                  <c:v>0.1936213213305728</c:v>
                </c:pt>
                <c:pt idx="12">
                  <c:v>5.6801951999999989E-2</c:v>
                </c:pt>
                <c:pt idx="13">
                  <c:v>0.55191757347242509</c:v>
                </c:pt>
                <c:pt idx="14" formatCode="_(* #,##0.000000_);_(* \(#,##0.000000\);_(* &quot;-&quot;??_);_(@_)">
                  <c:v>4.3790400000000002E-6</c:v>
                </c:pt>
                <c:pt idx="15" formatCode="_(* #,##0.00000_);_(* \(#,##0.00000\);_(* &quot;-&quot;??_);_(@_)">
                  <c:v>1.0828319999999999E-5</c:v>
                </c:pt>
              </c:numCache>
            </c:numRef>
          </c:val>
          <c:extLst>
            <c:ext xmlns:c16="http://schemas.microsoft.com/office/drawing/2014/chart" uri="{C3380CC4-5D6E-409C-BE32-E72D297353CC}">
              <c16:uniqueId val="{00000000-9DAC-4666-A1FB-342DFE90BEE9}"/>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a:t>
            </a:r>
            <a:r>
              <a:rPr lang="en-US" baseline="-25000"/>
              <a:t>2</a:t>
            </a:r>
            <a:r>
              <a:rPr lang="en-US"/>
              <a:t>e Emissions by Fuel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IFC_Summary!$B$24</c:f>
              <c:strCache>
                <c:ptCount val="1"/>
                <c:pt idx="0">
                  <c:v>2023_Total CO2E (MMT)</c:v>
                </c:pt>
              </c:strCache>
            </c:strRef>
          </c:tx>
          <c:dPt>
            <c:idx val="0"/>
            <c:bubble3D val="0"/>
            <c:spPr>
              <a:solidFill>
                <a:srgbClr val="026773"/>
              </a:solidFill>
              <a:ln w="19050">
                <a:solidFill>
                  <a:schemeClr val="lt1"/>
                </a:solidFill>
              </a:ln>
              <a:effectLst/>
            </c:spPr>
            <c:extLst>
              <c:ext xmlns:c16="http://schemas.microsoft.com/office/drawing/2014/chart" uri="{C3380CC4-5D6E-409C-BE32-E72D297353CC}">
                <c16:uniqueId val="{00000001-74B2-48AA-9666-BB7089D26FFF}"/>
              </c:ext>
            </c:extLst>
          </c:dPt>
          <c:dPt>
            <c:idx val="1"/>
            <c:bubble3D val="0"/>
            <c:spPr>
              <a:solidFill>
                <a:srgbClr val="FFA168"/>
              </a:solidFill>
              <a:ln w="19050">
                <a:solidFill>
                  <a:schemeClr val="lt1"/>
                </a:solidFill>
              </a:ln>
              <a:effectLst/>
            </c:spPr>
            <c:extLst>
              <c:ext xmlns:c16="http://schemas.microsoft.com/office/drawing/2014/chart" uri="{C3380CC4-5D6E-409C-BE32-E72D297353CC}">
                <c16:uniqueId val="{00000003-74B2-48AA-9666-BB7089D26FFF}"/>
              </c:ext>
            </c:extLst>
          </c:dPt>
          <c:dPt>
            <c:idx val="2"/>
            <c:bubble3D val="0"/>
            <c:spPr>
              <a:solidFill>
                <a:srgbClr val="718C55"/>
              </a:solidFill>
              <a:ln w="19050">
                <a:solidFill>
                  <a:schemeClr val="lt1"/>
                </a:solidFill>
              </a:ln>
              <a:effectLst/>
            </c:spPr>
            <c:extLst>
              <c:ext xmlns:c16="http://schemas.microsoft.com/office/drawing/2014/chart" uri="{C3380CC4-5D6E-409C-BE32-E72D297353CC}">
                <c16:uniqueId val="{00000005-74B2-48AA-9666-BB7089D26FFF}"/>
              </c:ext>
            </c:extLst>
          </c:dPt>
          <c:dPt>
            <c:idx val="3"/>
            <c:bubble3D val="0"/>
            <c:spPr>
              <a:solidFill>
                <a:srgbClr val="F1E1C0"/>
              </a:solidFill>
              <a:ln w="19050">
                <a:solidFill>
                  <a:schemeClr val="lt1"/>
                </a:solidFill>
              </a:ln>
              <a:effectLst/>
            </c:spPr>
            <c:extLst>
              <c:ext xmlns:c16="http://schemas.microsoft.com/office/drawing/2014/chart" uri="{C3380CC4-5D6E-409C-BE32-E72D297353CC}">
                <c16:uniqueId val="{00000007-74B2-48AA-9666-BB7089D26FFF}"/>
              </c:ext>
            </c:extLst>
          </c:dPt>
          <c:dLbls>
            <c:dLbl>
              <c:idx val="0"/>
              <c:tx>
                <c:rich>
                  <a:bodyPr/>
                  <a:lstStyle/>
                  <a:p>
                    <a:fld id="{A958F57D-D6DD-46F4-A6DD-64C4CFF46408}" type="CATEGORYNAME">
                      <a:rPr lang="en-US">
                        <a:solidFill>
                          <a:schemeClr val="bg1"/>
                        </a:solidFill>
                      </a:rPr>
                      <a:pPr/>
                      <a:t>[CATEGORY NAME]</a:t>
                    </a:fld>
                    <a:r>
                      <a:rPr lang="en-US" baseline="0">
                        <a:solidFill>
                          <a:schemeClr val="bg1"/>
                        </a:solidFill>
                      </a:rPr>
                      <a:t>
</a:t>
                    </a:r>
                    <a:fld id="{4AD00059-1DC6-4397-9C0A-53C574E68C5F}" type="PERCENTAGE">
                      <a:rPr lang="en-US" baseline="0">
                        <a:solidFill>
                          <a:schemeClr val="bg1"/>
                        </a:solidFill>
                      </a:rPr>
                      <a:pPr/>
                      <a:t>[PERCENTAGE]</a:t>
                    </a:fld>
                    <a:endParaRPr lang="en-US" baseline="0">
                      <a:solidFill>
                        <a:schemeClr val="bg1"/>
                      </a:solidFill>
                    </a:endParaRP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74B2-48AA-9666-BB7089D26FFF}"/>
                </c:ext>
              </c:extLst>
            </c:dLbl>
            <c:dLbl>
              <c:idx val="1"/>
              <c:layout>
                <c:manualLayout>
                  <c:x val="-0.1623069772528434"/>
                  <c:y val="1.291156313794109E-2"/>
                </c:manualLayout>
              </c:layout>
              <c:tx>
                <c:rich>
                  <a:bodyPr/>
                  <a:lstStyle/>
                  <a:p>
                    <a:fld id="{CDFC49C6-A9F1-4F25-B367-B66236F4820A}" type="CATEGORYNAME">
                      <a:rPr lang="en-US">
                        <a:solidFill>
                          <a:schemeClr val="bg1"/>
                        </a:solidFill>
                      </a:rPr>
                      <a:pPr/>
                      <a:t>[CATEGORY NAME]</a:t>
                    </a:fld>
                    <a:r>
                      <a:rPr lang="en-US" baseline="0">
                        <a:solidFill>
                          <a:schemeClr val="bg1"/>
                        </a:solidFill>
                      </a:rPr>
                      <a:t>
</a:t>
                    </a:r>
                    <a:fld id="{41F6425B-14EB-4486-8723-7B2ADA1CC5E0}" type="PERCENTAGE">
                      <a:rPr lang="en-US" baseline="0">
                        <a:solidFill>
                          <a:schemeClr val="bg1"/>
                        </a:solidFill>
                      </a:rPr>
                      <a:pPr/>
                      <a:t>[PERCENTAGE]</a:t>
                    </a:fld>
                    <a:endParaRPr lang="en-US" baseline="0">
                      <a:solidFill>
                        <a:schemeClr val="bg1"/>
                      </a:solidFill>
                    </a:endParaRP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74B2-48AA-9666-BB7089D26FFF}"/>
                </c:ext>
              </c:extLst>
            </c:dLbl>
            <c:dLbl>
              <c:idx val="2"/>
              <c:layout>
                <c:manualLayout>
                  <c:x val="0.16846773840769905"/>
                  <c:y val="-9.0721784776902889E-2"/>
                </c:manualLayout>
              </c:layout>
              <c:tx>
                <c:rich>
                  <a:bodyPr/>
                  <a:lstStyle/>
                  <a:p>
                    <a:fld id="{331C89A7-24AC-4A65-AB80-49770212DF0A}" type="CATEGORYNAME">
                      <a:rPr lang="en-US">
                        <a:solidFill>
                          <a:schemeClr val="bg1"/>
                        </a:solidFill>
                      </a:rPr>
                      <a:pPr/>
                      <a:t>[CATEGORY NAME]</a:t>
                    </a:fld>
                    <a:r>
                      <a:rPr lang="en-US" baseline="0">
                        <a:solidFill>
                          <a:schemeClr val="bg1"/>
                        </a:solidFill>
                      </a:rPr>
                      <a:t>
</a:t>
                    </a:r>
                    <a:fld id="{BD49758A-3488-4F9E-AFED-68DACDF208D2}" type="PERCENTAGE">
                      <a:rPr lang="en-US" baseline="0">
                        <a:solidFill>
                          <a:schemeClr val="bg1"/>
                        </a:solidFill>
                      </a:rPr>
                      <a:pPr/>
                      <a:t>[PERCENTAGE]</a:t>
                    </a:fld>
                    <a:endParaRPr lang="en-US" baseline="0">
                      <a:solidFill>
                        <a:schemeClr val="bg1"/>
                      </a:solidFill>
                    </a:endParaRP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74B2-48AA-9666-BB7089D26FFF}"/>
                </c:ext>
              </c:extLst>
            </c:dLbl>
            <c:dLbl>
              <c:idx val="3"/>
              <c:layout>
                <c:manualLayout>
                  <c:x val="-0.13124398512685914"/>
                  <c:y val="1.6870443277923593E-2"/>
                </c:manualLayout>
              </c:layout>
              <c:tx>
                <c:rich>
                  <a:bodyPr/>
                  <a:lstStyle/>
                  <a:p>
                    <a:fld id="{85ACCE7D-8EE3-45BC-B267-51FA6F394E30}" type="CATEGORYNAME">
                      <a:rPr lang="en-US"/>
                      <a:pPr/>
                      <a:t>[CATEGORY NAME]</a:t>
                    </a:fld>
                    <a:r>
                      <a:rPr lang="en-US" baseline="0"/>
                      <a:t>
&lt;1%</a:t>
                    </a: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74B2-48AA-9666-BB7089D26FF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IFC_Summary!$A$25:$A$28</c:f>
              <c:strCache>
                <c:ptCount val="4"/>
                <c:pt idx="0">
                  <c:v>Coal</c:v>
                </c:pt>
                <c:pt idx="1">
                  <c:v>Natural Gas</c:v>
                </c:pt>
                <c:pt idx="2">
                  <c:v>Petroleum</c:v>
                </c:pt>
                <c:pt idx="3">
                  <c:v>Wood</c:v>
                </c:pt>
              </c:strCache>
            </c:strRef>
          </c:cat>
          <c:val>
            <c:numRef>
              <c:f>IFC_Summary!$B$25:$B$28</c:f>
              <c:numCache>
                <c:formatCode>_(* #,##0.00_);_(* \(#,##0.00\);_(* "-"??_);_(@_)</c:formatCode>
                <c:ptCount val="4"/>
                <c:pt idx="0">
                  <c:v>0.13404770318339865</c:v>
                </c:pt>
                <c:pt idx="1">
                  <c:v>0.5207688527935157</c:v>
                </c:pt>
                <c:pt idx="2" formatCode="_(* #,##0.000_);_(* \(#,##0.000\);_(* &quot;-&quot;??_);_(@_)">
                  <c:v>0.93854693986643856</c:v>
                </c:pt>
                <c:pt idx="3" formatCode="_(* #,##0.00000_);_(* \(#,##0.00000\);_(* &quot;-&quot;??_);_(@_)">
                  <c:v>1.0828319999999999E-5</c:v>
                </c:pt>
              </c:numCache>
            </c:numRef>
          </c:val>
          <c:extLst>
            <c:ext xmlns:c16="http://schemas.microsoft.com/office/drawing/2014/chart" uri="{C3380CC4-5D6E-409C-BE32-E72D297353CC}">
              <c16:uniqueId val="{00000000-D14E-4374-A9DB-3A54B9D31A70}"/>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CO2e Emissions</a:t>
            </a:r>
            <a:r>
              <a:rPr lang="en-US" baseline="0"/>
              <a:t> by Greenhouse Gas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026773"/>
              </a:solidFill>
              <a:ln w="19050">
                <a:solidFill>
                  <a:schemeClr val="lt1"/>
                </a:solidFill>
              </a:ln>
              <a:effectLst/>
            </c:spPr>
            <c:extLst>
              <c:ext xmlns:c16="http://schemas.microsoft.com/office/drawing/2014/chart" uri="{C3380CC4-5D6E-409C-BE32-E72D297353CC}">
                <c16:uniqueId val="{00000001-6F63-45BA-A0C6-2DD4E63303BA}"/>
              </c:ext>
            </c:extLst>
          </c:dPt>
          <c:dPt>
            <c:idx val="1"/>
            <c:bubble3D val="0"/>
            <c:spPr>
              <a:solidFill>
                <a:srgbClr val="FFA168"/>
              </a:solidFill>
              <a:ln w="19050">
                <a:solidFill>
                  <a:schemeClr val="lt1"/>
                </a:solidFill>
              </a:ln>
              <a:effectLst/>
            </c:spPr>
            <c:extLst>
              <c:ext xmlns:c16="http://schemas.microsoft.com/office/drawing/2014/chart" uri="{C3380CC4-5D6E-409C-BE32-E72D297353CC}">
                <c16:uniqueId val="{00000005-6F63-45BA-A0C6-2DD4E63303BA}"/>
              </c:ext>
            </c:extLst>
          </c:dPt>
          <c:dPt>
            <c:idx val="2"/>
            <c:bubble3D val="0"/>
            <c:spPr>
              <a:solidFill>
                <a:srgbClr val="B5CAE7"/>
              </a:solidFill>
              <a:ln w="19050">
                <a:solidFill>
                  <a:schemeClr val="lt1"/>
                </a:solidFill>
              </a:ln>
              <a:effectLst/>
            </c:spPr>
            <c:extLst>
              <c:ext xmlns:c16="http://schemas.microsoft.com/office/drawing/2014/chart" uri="{C3380CC4-5D6E-409C-BE32-E72D297353CC}">
                <c16:uniqueId val="{00000006-6F63-45BA-A0C6-2DD4E63303BA}"/>
              </c:ext>
            </c:extLst>
          </c:dPt>
          <c:dPt>
            <c:idx val="3"/>
            <c:bubble3D val="0"/>
            <c:spPr>
              <a:solidFill>
                <a:srgbClr val="718C55"/>
              </a:solidFill>
              <a:ln w="19050">
                <a:solidFill>
                  <a:schemeClr val="lt1"/>
                </a:solidFill>
              </a:ln>
              <a:effectLst/>
            </c:spPr>
            <c:extLst>
              <c:ext xmlns:c16="http://schemas.microsoft.com/office/drawing/2014/chart" uri="{C3380CC4-5D6E-409C-BE32-E72D297353CC}">
                <c16:uniqueId val="{00000002-6F63-45BA-A0C6-2DD4E63303BA}"/>
              </c:ext>
            </c:extLst>
          </c:dPt>
          <c:dPt>
            <c:idx val="4"/>
            <c:bubble3D val="0"/>
            <c:spPr>
              <a:solidFill>
                <a:srgbClr val="FFA168"/>
              </a:solidFill>
              <a:ln w="19050">
                <a:solidFill>
                  <a:schemeClr val="lt1"/>
                </a:solidFill>
              </a:ln>
              <a:effectLst/>
            </c:spPr>
            <c:extLst>
              <c:ext xmlns:c16="http://schemas.microsoft.com/office/drawing/2014/chart" uri="{C3380CC4-5D6E-409C-BE32-E72D297353CC}">
                <c16:uniqueId val="{00000004-6F63-45BA-A0C6-2DD4E63303BA}"/>
              </c:ext>
            </c:extLst>
          </c:dPt>
          <c:dPt>
            <c:idx val="5"/>
            <c:bubble3D val="0"/>
            <c:spPr>
              <a:solidFill>
                <a:srgbClr val="F1E1C0"/>
              </a:solidFill>
              <a:ln w="19050">
                <a:solidFill>
                  <a:schemeClr val="lt1"/>
                </a:solidFill>
              </a:ln>
              <a:effectLst/>
            </c:spPr>
            <c:extLst>
              <c:ext xmlns:c16="http://schemas.microsoft.com/office/drawing/2014/chart" uri="{C3380CC4-5D6E-409C-BE32-E72D297353CC}">
                <c16:uniqueId val="{00000003-6F63-45BA-A0C6-2DD4E63303BA}"/>
              </c:ext>
            </c:extLst>
          </c:dPt>
          <c:dLbls>
            <c:dLbl>
              <c:idx val="0"/>
              <c:layout>
                <c:manualLayout>
                  <c:x val="-0.163888888888889"/>
                  <c:y val="3.3558982210556927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15:layout>
                    <c:manualLayout>
                      <c:w val="9.375E-2"/>
                      <c:h val="0.15046296296296297"/>
                    </c:manualLayout>
                  </c15:layout>
                </c:ext>
                <c:ext xmlns:c16="http://schemas.microsoft.com/office/drawing/2014/chart" uri="{C3380CC4-5D6E-409C-BE32-E72D297353CC}">
                  <c16:uniqueId val="{00000001-6F63-45BA-A0C6-2DD4E63303BA}"/>
                </c:ext>
              </c:extLst>
            </c:dLbl>
            <c:dLbl>
              <c:idx val="1"/>
              <c:layout>
                <c:manualLayout>
                  <c:x val="-4.5794072615923012E-2"/>
                  <c:y val="-0.1459722222222222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F63-45BA-A0C6-2DD4E63303BA}"/>
                </c:ext>
              </c:extLst>
            </c:dLbl>
            <c:dLbl>
              <c:idx val="3"/>
              <c:layout>
                <c:manualLayout>
                  <c:x val="0.13204330708661419"/>
                  <c:y val="-3.98341353164187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F63-45BA-A0C6-2DD4E63303BA}"/>
                </c:ext>
              </c:extLst>
            </c:dLbl>
            <c:dLbl>
              <c:idx val="4"/>
              <c:tx>
                <c:rich>
                  <a:bodyPr/>
                  <a:lstStyle/>
                  <a:p>
                    <a:fld id="{806BD44F-AF8E-4723-91EF-04A6F1DACDE9}" type="CATEGORYNAME">
                      <a:rPr lang="en-US"/>
                      <a:pPr/>
                      <a:t>[CATEGORY NAME]</a:t>
                    </a:fld>
                    <a:r>
                      <a:rPr lang="en-US" baseline="0"/>
                      <a:t>
&lt;1%</a:t>
                    </a: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6F63-45BA-A0C6-2DD4E63303BA}"/>
                </c:ext>
              </c:extLst>
            </c:dLbl>
            <c:dLbl>
              <c:idx val="5"/>
              <c:layout>
                <c:manualLayout>
                  <c:x val="8.2161417322834648E-2"/>
                  <c:y val="-3.0861767279090112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F63-45BA-A0C6-2DD4E63303B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IPPU_Summary!$J$14:$J$19</c:f>
              <c:strCache>
                <c:ptCount val="6"/>
                <c:pt idx="0">
                  <c:v>CO2</c:v>
                </c:pt>
                <c:pt idx="1">
                  <c:v>SF6</c:v>
                </c:pt>
                <c:pt idx="2">
                  <c:v>N2O</c:v>
                </c:pt>
                <c:pt idx="3">
                  <c:v>HFC</c:v>
                </c:pt>
                <c:pt idx="4">
                  <c:v>NF3</c:v>
                </c:pt>
                <c:pt idx="5">
                  <c:v>PFC</c:v>
                </c:pt>
              </c:strCache>
            </c:strRef>
          </c:cat>
          <c:val>
            <c:numRef>
              <c:f>IPPU_Summary!$K$14:$K$19</c:f>
              <c:numCache>
                <c:formatCode>0.000000</c:formatCode>
                <c:ptCount val="6"/>
                <c:pt idx="0">
                  <c:v>0.6403508071570545</c:v>
                </c:pt>
                <c:pt idx="1">
                  <c:v>9.8122017609491574E-2</c:v>
                </c:pt>
                <c:pt idx="2">
                  <c:v>3.2574383208560542E-2</c:v>
                </c:pt>
                <c:pt idx="3">
                  <c:v>0.72973331953218457</c:v>
                </c:pt>
                <c:pt idx="4">
                  <c:v>4.5732848227918775E-3</c:v>
                </c:pt>
                <c:pt idx="5">
                  <c:v>1.953862194758909E-2</c:v>
                </c:pt>
              </c:numCache>
            </c:numRef>
          </c:val>
          <c:extLst>
            <c:ext xmlns:c16="http://schemas.microsoft.com/office/drawing/2014/chart" uri="{C3380CC4-5D6E-409C-BE32-E72D297353CC}">
              <c16:uniqueId val="{00000000-6F63-45BA-A0C6-2DD4E63303BA}"/>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CO2e Emissions by Greenhouse Gas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spPr>
            <a:ln w="6350"/>
          </c:spPr>
          <c:dPt>
            <c:idx val="0"/>
            <c:bubble3D val="0"/>
            <c:spPr>
              <a:solidFill>
                <a:srgbClr val="026773"/>
              </a:solidFill>
              <a:ln w="6350">
                <a:solidFill>
                  <a:schemeClr val="lt1"/>
                </a:solidFill>
              </a:ln>
              <a:effectLst/>
            </c:spPr>
            <c:extLst>
              <c:ext xmlns:c16="http://schemas.microsoft.com/office/drawing/2014/chart" uri="{C3380CC4-5D6E-409C-BE32-E72D297353CC}">
                <c16:uniqueId val="{00000010-60D3-4692-9BF4-DFF9F94D18DC}"/>
              </c:ext>
            </c:extLst>
          </c:dPt>
          <c:dPt>
            <c:idx val="1"/>
            <c:bubble3D val="0"/>
            <c:spPr>
              <a:solidFill>
                <a:srgbClr val="FFA168"/>
              </a:solidFill>
              <a:ln w="6350">
                <a:solidFill>
                  <a:schemeClr val="lt1"/>
                </a:solidFill>
              </a:ln>
              <a:effectLst/>
            </c:spPr>
            <c:extLst>
              <c:ext xmlns:c16="http://schemas.microsoft.com/office/drawing/2014/chart" uri="{C3380CC4-5D6E-409C-BE32-E72D297353CC}">
                <c16:uniqueId val="{00000011-60D3-4692-9BF4-DFF9F94D18DC}"/>
              </c:ext>
            </c:extLst>
          </c:dPt>
          <c:dPt>
            <c:idx val="2"/>
            <c:bubble3D val="0"/>
            <c:spPr>
              <a:solidFill>
                <a:srgbClr val="B5CAE7"/>
              </a:solidFill>
              <a:ln w="6350">
                <a:solidFill>
                  <a:schemeClr val="lt1"/>
                </a:solidFill>
              </a:ln>
              <a:effectLst/>
            </c:spPr>
            <c:extLst>
              <c:ext xmlns:c16="http://schemas.microsoft.com/office/drawing/2014/chart" uri="{C3380CC4-5D6E-409C-BE32-E72D297353CC}">
                <c16:uniqueId val="{00000012-60D3-4692-9BF4-DFF9F94D18DC}"/>
              </c:ext>
            </c:extLst>
          </c:dPt>
          <c:dPt>
            <c:idx val="3"/>
            <c:bubble3D val="0"/>
            <c:spPr>
              <a:solidFill>
                <a:srgbClr val="718C55"/>
              </a:solidFill>
              <a:ln w="6350">
                <a:solidFill>
                  <a:schemeClr val="lt1"/>
                </a:solidFill>
              </a:ln>
              <a:effectLst/>
            </c:spPr>
            <c:extLst>
              <c:ext xmlns:c16="http://schemas.microsoft.com/office/drawing/2014/chart" uri="{C3380CC4-5D6E-409C-BE32-E72D297353CC}">
                <c16:uniqueId val="{00000013-60D3-4692-9BF4-DFF9F94D18DC}"/>
              </c:ext>
            </c:extLst>
          </c:dPt>
          <c:dPt>
            <c:idx val="4"/>
            <c:bubble3D val="0"/>
            <c:spPr>
              <a:solidFill>
                <a:srgbClr val="0D2345"/>
              </a:solidFill>
              <a:ln w="6350">
                <a:solidFill>
                  <a:schemeClr val="lt1"/>
                </a:solidFill>
              </a:ln>
              <a:effectLst/>
            </c:spPr>
            <c:extLst>
              <c:ext xmlns:c16="http://schemas.microsoft.com/office/drawing/2014/chart" uri="{C3380CC4-5D6E-409C-BE32-E72D297353CC}">
                <c16:uniqueId val="{00000015-60D3-4692-9BF4-DFF9F94D18DC}"/>
              </c:ext>
            </c:extLst>
          </c:dPt>
          <c:dPt>
            <c:idx val="5"/>
            <c:bubble3D val="0"/>
            <c:spPr>
              <a:solidFill>
                <a:srgbClr val="F1E1C0"/>
              </a:solidFill>
              <a:ln w="6350">
                <a:solidFill>
                  <a:schemeClr val="lt1"/>
                </a:solidFill>
              </a:ln>
              <a:effectLst/>
            </c:spPr>
            <c:extLst>
              <c:ext xmlns:c16="http://schemas.microsoft.com/office/drawing/2014/chart" uri="{C3380CC4-5D6E-409C-BE32-E72D297353CC}">
                <c16:uniqueId val="{00000014-60D3-4692-9BF4-DFF9F94D18DC}"/>
              </c:ext>
            </c:extLst>
          </c:dPt>
          <c:dLbls>
            <c:dLbl>
              <c:idx val="4"/>
              <c:layout>
                <c:manualLayout>
                  <c:x val="-0.10419227761063687"/>
                  <c:y val="3.3523101308990666E-2"/>
                </c:manualLayout>
              </c:layout>
              <c:tx>
                <c:rich>
                  <a:bodyPr/>
                  <a:lstStyle/>
                  <a:p>
                    <a:fld id="{8BE0739B-CA0C-47BD-856C-225B22601581}" type="CATEGORYNAME">
                      <a:rPr lang="en-US"/>
                      <a:pPr/>
                      <a:t>[CATEGORY NAME]</a:t>
                    </a:fld>
                    <a:r>
                      <a:rPr lang="en-US" baseline="0"/>
                      <a:t>
&lt;1%</a:t>
                    </a: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5-60D3-4692-9BF4-DFF9F94D18DC}"/>
                </c:ext>
              </c:extLst>
            </c:dLbl>
            <c:dLbl>
              <c:idx val="5"/>
              <c:layout>
                <c:manualLayout>
                  <c:x val="0.12782200214004327"/>
                  <c:y val="1.816403031383396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4-60D3-4692-9BF4-DFF9F94D18DC}"/>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IPPU_Summary!$J$14:$J$19</c:f>
              <c:strCache>
                <c:ptCount val="6"/>
                <c:pt idx="0">
                  <c:v>CO2</c:v>
                </c:pt>
                <c:pt idx="1">
                  <c:v>SF6</c:v>
                </c:pt>
                <c:pt idx="2">
                  <c:v>N2O</c:v>
                </c:pt>
                <c:pt idx="3">
                  <c:v>HFC</c:v>
                </c:pt>
                <c:pt idx="4">
                  <c:v>NF3</c:v>
                </c:pt>
                <c:pt idx="5">
                  <c:v>PFC</c:v>
                </c:pt>
              </c:strCache>
            </c:strRef>
          </c:cat>
          <c:val>
            <c:numRef>
              <c:f>IPPU_Summary!$K$14:$K$19</c:f>
              <c:numCache>
                <c:formatCode>0.000000</c:formatCode>
                <c:ptCount val="6"/>
                <c:pt idx="0">
                  <c:v>0.6403508071570545</c:v>
                </c:pt>
                <c:pt idx="1">
                  <c:v>9.8122017609491574E-2</c:v>
                </c:pt>
                <c:pt idx="2">
                  <c:v>3.2574383208560542E-2</c:v>
                </c:pt>
                <c:pt idx="3">
                  <c:v>0.72973331953218457</c:v>
                </c:pt>
                <c:pt idx="4">
                  <c:v>4.5732848227918775E-3</c:v>
                </c:pt>
                <c:pt idx="5">
                  <c:v>1.953862194758909E-2</c:v>
                </c:pt>
              </c:numCache>
            </c:numRef>
          </c:val>
          <c:extLst>
            <c:ext xmlns:c16="http://schemas.microsoft.com/office/drawing/2014/chart" uri="{C3380CC4-5D6E-409C-BE32-E72D297353CC}">
              <c16:uniqueId val="{00000000-60D3-4692-9BF4-DFF9F94D18DC}"/>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CMAM CO2e Emissions by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026773"/>
              </a:solidFill>
              <a:ln w="19050">
                <a:solidFill>
                  <a:schemeClr val="lt1"/>
                </a:solidFill>
              </a:ln>
              <a:effectLst/>
            </c:spPr>
            <c:extLst>
              <c:ext xmlns:c16="http://schemas.microsoft.com/office/drawing/2014/chart" uri="{C3380CC4-5D6E-409C-BE32-E72D297353CC}">
                <c16:uniqueId val="{00000001-3AF7-4FFC-8542-D50022A9CAB3}"/>
              </c:ext>
            </c:extLst>
          </c:dPt>
          <c:dPt>
            <c:idx val="1"/>
            <c:bubble3D val="0"/>
            <c:spPr>
              <a:solidFill>
                <a:srgbClr val="FFA168"/>
              </a:solidFill>
              <a:ln w="19050">
                <a:solidFill>
                  <a:schemeClr val="lt1"/>
                </a:solidFill>
              </a:ln>
              <a:effectLst/>
            </c:spPr>
            <c:extLst>
              <c:ext xmlns:c16="http://schemas.microsoft.com/office/drawing/2014/chart" uri="{C3380CC4-5D6E-409C-BE32-E72D297353CC}">
                <c16:uniqueId val="{00000003-3AF7-4FFC-8542-D50022A9CAB3}"/>
              </c:ext>
            </c:extLst>
          </c:dPt>
          <c:dPt>
            <c:idx val="2"/>
            <c:bubble3D val="0"/>
            <c:spPr>
              <a:solidFill>
                <a:srgbClr val="718C55"/>
              </a:solidFill>
              <a:ln w="19050">
                <a:solidFill>
                  <a:schemeClr val="lt1"/>
                </a:solidFill>
              </a:ln>
              <a:effectLst/>
            </c:spPr>
            <c:extLst>
              <c:ext xmlns:c16="http://schemas.microsoft.com/office/drawing/2014/chart" uri="{C3380CC4-5D6E-409C-BE32-E72D297353CC}">
                <c16:uniqueId val="{00000002-3AF7-4FFC-8542-D50022A9CAB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CMAM!$J$5:$J$7</c:f>
              <c:strCache>
                <c:ptCount val="3"/>
                <c:pt idx="0">
                  <c:v>Surface Mining</c:v>
                </c:pt>
                <c:pt idx="1">
                  <c:v>Post-Mining Activities</c:v>
                </c:pt>
                <c:pt idx="2">
                  <c:v> Abandoned Mines </c:v>
                </c:pt>
              </c:strCache>
            </c:strRef>
          </c:cat>
          <c:val>
            <c:numRef>
              <c:f>CMAM!$K$5:$K$7</c:f>
              <c:numCache>
                <c:formatCode>#,##0.00</c:formatCode>
                <c:ptCount val="3"/>
                <c:pt idx="0">
                  <c:v>5.3030309660856548E-2</c:v>
                </c:pt>
                <c:pt idx="1">
                  <c:v>1.0218917393732785E-2</c:v>
                </c:pt>
                <c:pt idx="2" formatCode="#,##0.000000">
                  <c:v>1.7310034873959653E-2</c:v>
                </c:pt>
              </c:numCache>
            </c:numRef>
          </c:val>
          <c:extLst>
            <c:ext xmlns:c16="http://schemas.microsoft.com/office/drawing/2014/chart" uri="{C3380CC4-5D6E-409C-BE32-E72D297353CC}">
              <c16:uniqueId val="{00000000-3AF7-4FFC-8542-D50022A9CAB3}"/>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ofPieChart>
        <c:ofPieType val="pie"/>
        <c:varyColors val="1"/>
        <c:ser>
          <c:idx val="0"/>
          <c:order val="0"/>
          <c:dPt>
            <c:idx val="0"/>
            <c:bubble3D val="0"/>
            <c:spPr>
              <a:solidFill>
                <a:srgbClr val="F1E1C0"/>
              </a:solidFill>
              <a:ln w="19050">
                <a:solidFill>
                  <a:schemeClr val="lt1"/>
                </a:solidFill>
              </a:ln>
              <a:effectLst/>
            </c:spPr>
            <c:extLst>
              <c:ext xmlns:c16="http://schemas.microsoft.com/office/drawing/2014/chart" uri="{C3380CC4-5D6E-409C-BE32-E72D297353CC}">
                <c16:uniqueId val="{00000001-ECF2-4EA1-BA25-AEEB8DA3A45A}"/>
              </c:ext>
            </c:extLst>
          </c:dPt>
          <c:dPt>
            <c:idx val="1"/>
            <c:bubble3D val="0"/>
            <c:spPr>
              <a:solidFill>
                <a:srgbClr val="FFA168"/>
              </a:solidFill>
              <a:ln w="19050">
                <a:solidFill>
                  <a:schemeClr val="lt1"/>
                </a:solidFill>
              </a:ln>
              <a:effectLst/>
            </c:spPr>
            <c:extLst>
              <c:ext xmlns:c16="http://schemas.microsoft.com/office/drawing/2014/chart" uri="{C3380CC4-5D6E-409C-BE32-E72D297353CC}">
                <c16:uniqueId val="{00000003-ECF2-4EA1-BA25-AEEB8DA3A45A}"/>
              </c:ext>
            </c:extLst>
          </c:dPt>
          <c:dPt>
            <c:idx val="2"/>
            <c:bubble3D val="0"/>
            <c:spPr>
              <a:solidFill>
                <a:srgbClr val="718C55"/>
              </a:solidFill>
              <a:ln w="19050">
                <a:solidFill>
                  <a:schemeClr val="lt1"/>
                </a:solidFill>
              </a:ln>
              <a:effectLst/>
            </c:spPr>
            <c:extLst>
              <c:ext xmlns:c16="http://schemas.microsoft.com/office/drawing/2014/chart" uri="{C3380CC4-5D6E-409C-BE32-E72D297353CC}">
                <c16:uniqueId val="{00000005-ECF2-4EA1-BA25-AEEB8DA3A45A}"/>
              </c:ext>
            </c:extLst>
          </c:dPt>
          <c:dPt>
            <c:idx val="3"/>
            <c:bubble3D val="0"/>
            <c:spPr>
              <a:solidFill>
                <a:srgbClr val="215EA7"/>
              </a:solidFill>
              <a:ln w="19050">
                <a:solidFill>
                  <a:schemeClr val="lt1"/>
                </a:solidFill>
              </a:ln>
              <a:effectLst/>
            </c:spPr>
            <c:extLst>
              <c:ext xmlns:c16="http://schemas.microsoft.com/office/drawing/2014/chart" uri="{C3380CC4-5D6E-409C-BE32-E72D297353CC}">
                <c16:uniqueId val="{00000009-ECF2-4EA1-BA25-AEEB8DA3A45A}"/>
              </c:ext>
            </c:extLst>
          </c:dPt>
          <c:dPt>
            <c:idx val="4"/>
            <c:bubble3D val="0"/>
            <c:spPr>
              <a:solidFill>
                <a:srgbClr val="DF7D2A"/>
              </a:solidFill>
              <a:ln w="19050">
                <a:solidFill>
                  <a:schemeClr val="lt1"/>
                </a:solidFill>
              </a:ln>
              <a:effectLst/>
            </c:spPr>
            <c:extLst>
              <c:ext xmlns:c16="http://schemas.microsoft.com/office/drawing/2014/chart" uri="{C3380CC4-5D6E-409C-BE32-E72D297353CC}">
                <c16:uniqueId val="{0000000B-ECF2-4EA1-BA25-AEEB8DA3A45A}"/>
              </c:ext>
            </c:extLst>
          </c:dPt>
          <c:dPt>
            <c:idx val="5"/>
            <c:bubble3D val="0"/>
            <c:spPr>
              <a:solidFill>
                <a:srgbClr val="008541"/>
              </a:solidFill>
              <a:ln w="19050">
                <a:solidFill>
                  <a:schemeClr val="lt1"/>
                </a:solidFill>
              </a:ln>
              <a:effectLst/>
            </c:spPr>
            <c:extLst>
              <c:ext xmlns:c16="http://schemas.microsoft.com/office/drawing/2014/chart" uri="{C3380CC4-5D6E-409C-BE32-E72D297353CC}">
                <c16:uniqueId val="{0000000D-ECF2-4EA1-BA25-AEEB8DA3A45A}"/>
              </c:ext>
            </c:extLst>
          </c:dPt>
          <c:dPt>
            <c:idx val="6"/>
            <c:bubble3D val="0"/>
            <c:spPr>
              <a:solidFill>
                <a:srgbClr val="0D2345"/>
              </a:solidFill>
              <a:ln w="19050">
                <a:solidFill>
                  <a:schemeClr val="lt1"/>
                </a:solidFill>
              </a:ln>
              <a:effectLst/>
            </c:spPr>
            <c:extLst>
              <c:ext xmlns:c16="http://schemas.microsoft.com/office/drawing/2014/chart" uri="{C3380CC4-5D6E-409C-BE32-E72D297353CC}">
                <c16:uniqueId val="{0000000F-ECF2-4EA1-BA25-AEEB8DA3A45A}"/>
              </c:ext>
            </c:extLst>
          </c:dPt>
          <c:dPt>
            <c:idx val="7"/>
            <c:bubble3D val="0"/>
            <c:spPr>
              <a:solidFill>
                <a:srgbClr val="B5CAE7"/>
              </a:solidFill>
              <a:ln w="19050">
                <a:solidFill>
                  <a:schemeClr val="lt1"/>
                </a:solidFill>
              </a:ln>
              <a:effectLst/>
            </c:spPr>
            <c:extLst>
              <c:ext xmlns:c16="http://schemas.microsoft.com/office/drawing/2014/chart" uri="{C3380CC4-5D6E-409C-BE32-E72D297353CC}">
                <c16:uniqueId val="{00000011-ECF2-4EA1-BA25-AEEB8DA3A45A}"/>
              </c:ext>
            </c:extLst>
          </c:dPt>
          <c:dPt>
            <c:idx val="8"/>
            <c:bubble3D val="0"/>
            <c:spPr>
              <a:solidFill>
                <a:srgbClr val="026773"/>
              </a:solidFill>
              <a:ln w="19050">
                <a:solidFill>
                  <a:schemeClr val="lt1"/>
                </a:solidFill>
              </a:ln>
              <a:effectLst/>
            </c:spPr>
            <c:extLst>
              <c:ext xmlns:c16="http://schemas.microsoft.com/office/drawing/2014/chart" uri="{C3380CC4-5D6E-409C-BE32-E72D297353CC}">
                <c16:uniqueId val="{00000001-D24C-47AC-95B9-E561DA9EDAFB}"/>
              </c:ext>
            </c:extLst>
          </c:dPt>
          <c:dLbls>
            <c:dLbl>
              <c:idx val="3"/>
              <c:layout>
                <c:manualLayout>
                  <c:x val="3.5869662633633416E-3"/>
                  <c:y val="-6.3744208495786631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ECF2-4EA1-BA25-AEEB8DA3A45A}"/>
                </c:ext>
              </c:extLst>
            </c:dLbl>
            <c:dLbl>
              <c:idx val="4"/>
              <c:layout>
                <c:manualLayout>
                  <c:x val="-7.2135544032605761E-2"/>
                  <c:y val="0.1366041751382171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ECF2-4EA1-BA25-AEEB8DA3A45A}"/>
                </c:ext>
              </c:extLst>
            </c:dLbl>
            <c:dLbl>
              <c:idx val="5"/>
              <c:layout>
                <c:manualLayout>
                  <c:x val="-9.2263747519364961E-2"/>
                  <c:y val="-0.14718134143581424"/>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ECF2-4EA1-BA25-AEEB8DA3A45A}"/>
                </c:ext>
              </c:extLst>
            </c:dLbl>
            <c:dLbl>
              <c:idx val="6"/>
              <c:layout>
                <c:manualLayout>
                  <c:x val="8.456308815056655E-3"/>
                  <c:y val="3.81486619018112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ECF2-4EA1-BA25-AEEB8DA3A45A}"/>
                </c:ext>
              </c:extLst>
            </c:dLbl>
            <c:dLbl>
              <c:idx val="8"/>
              <c:layout>
                <c:manualLayout>
                  <c:x val="-0.14593431918571159"/>
                  <c:y val="-4.4834890307970103E-2"/>
                </c:manualLayout>
              </c:layout>
              <c:tx>
                <c:rich>
                  <a:bodyPr/>
                  <a:lstStyle/>
                  <a:p>
                    <a:r>
                      <a:rPr lang="en-US"/>
                      <a:t>On-road</a:t>
                    </a:r>
                    <a:r>
                      <a:rPr lang="en-US" baseline="0"/>
                      <a:t>
</a:t>
                    </a:r>
                    <a:fld id="{8529BD0C-052E-431C-8A8D-FB562A5CF776}" type="PERCENTAGE">
                      <a:rPr lang="en-US" baseline="0"/>
                      <a:pPr/>
                      <a:t>[PERCENTAGE]</a:t>
                    </a:fld>
                    <a:endParaRPr lang="en-US" baseline="0"/>
                  </a:p>
                </c:rich>
              </c:tx>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D24C-47AC-95B9-E561DA9EDAF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65000"/>
                        <a:lumOff val="35000"/>
                      </a:schemeClr>
                    </a:solidFill>
                    <a:latin typeface="+mn-lt"/>
                    <a:ea typeface="+mn-ea"/>
                    <a:cs typeface="+mn-cs"/>
                  </a:defRPr>
                </a:pPr>
                <a:endParaRPr lang="en-US"/>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Transportation!$J$8:$J$16</c15:sqref>
                  </c15:fullRef>
                </c:ext>
              </c:extLst>
              <c:f>(Transportation!$J$8:$J$10,Transportation!$J$12:$J$16)</c:f>
              <c:strCache>
                <c:ptCount val="8"/>
                <c:pt idx="0">
                  <c:v>Aircrafts</c:v>
                </c:pt>
                <c:pt idx="1">
                  <c:v>Rail</c:v>
                </c:pt>
                <c:pt idx="2">
                  <c:v>Non-road vehicles and equipment</c:v>
                </c:pt>
                <c:pt idx="3">
                  <c:v>Passenger cars</c:v>
                </c:pt>
                <c:pt idx="4">
                  <c:v>Light-duty trucks</c:v>
                </c:pt>
                <c:pt idx="5">
                  <c:v>Medium-heavy-duty trucks</c:v>
                </c:pt>
                <c:pt idx="6">
                  <c:v>Buses</c:v>
                </c:pt>
                <c:pt idx="7">
                  <c:v>Motorcycles</c:v>
                </c:pt>
              </c:strCache>
            </c:strRef>
          </c:cat>
          <c:val>
            <c:numRef>
              <c:extLst>
                <c:ext xmlns:c15="http://schemas.microsoft.com/office/drawing/2012/chart" uri="{02D57815-91ED-43cb-92C2-25804820EDAC}">
                  <c15:fullRef>
                    <c15:sqref>Transportation!$K$8:$K$16</c15:sqref>
                  </c15:fullRef>
                </c:ext>
              </c:extLst>
              <c:f>(Transportation!$K$8:$K$10,Transportation!$K$12:$K$16)</c:f>
              <c:numCache>
                <c:formatCode>0.000000000</c:formatCode>
                <c:ptCount val="8"/>
                <c:pt idx="0" formatCode="General">
                  <c:v>0.4526120942657384</c:v>
                </c:pt>
                <c:pt idx="1">
                  <c:v>1.2048597316085574</c:v>
                </c:pt>
                <c:pt idx="2" formatCode="General">
                  <c:v>1.2661455230000001</c:v>
                </c:pt>
                <c:pt idx="3">
                  <c:v>2.1214154590484089</c:v>
                </c:pt>
                <c:pt idx="4">
                  <c:v>6.3789993584750126</c:v>
                </c:pt>
                <c:pt idx="5">
                  <c:v>5.3796029343880614</c:v>
                </c:pt>
                <c:pt idx="6">
                  <c:v>0.2511737515458114</c:v>
                </c:pt>
                <c:pt idx="7">
                  <c:v>0.18067578655189334</c:v>
                </c:pt>
              </c:numCache>
            </c:numRef>
          </c:val>
          <c:extLst>
            <c:ext xmlns:c15="http://schemas.microsoft.com/office/drawing/2012/chart" uri="{02D57815-91ED-43cb-92C2-25804820EDAC}">
              <c15:categoryFilterExceptions>
                <c15:categoryFilterException>
                  <c15:sqref>Transportation!$K$11</c15:sqref>
                  <c15:spPr xmlns:c15="http://schemas.microsoft.com/office/drawing/2012/chart">
                    <a:solidFill>
                      <a:schemeClr val="accent4"/>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D24C-47AC-95B9-E561DA9EDAFB}"/>
            </c:ext>
          </c:extLst>
        </c:ser>
        <c:dLbls>
          <c:dLblPos val="bestFit"/>
          <c:showLegendKey val="0"/>
          <c:showVal val="0"/>
          <c:showCatName val="1"/>
          <c:showSerName val="0"/>
          <c:showPercent val="1"/>
          <c:showBubbleSize val="0"/>
          <c:showLeaderLines val="1"/>
        </c:dLbls>
        <c:gapWidth val="100"/>
        <c:splitType val="cust"/>
        <c:custSplit>
          <c:secondPiePt val="3"/>
          <c:secondPiePt val="4"/>
          <c:secondPiePt val="5"/>
          <c:secondPiePt val="6"/>
          <c:secondPiePt val="7"/>
        </c:custSplit>
        <c:secondPieSize val="75"/>
        <c:serLines>
          <c:spPr>
            <a:ln w="9525" cap="flat" cmpd="sng" algn="ctr">
              <a:solidFill>
                <a:schemeClr val="tx1">
                  <a:lumMod val="35000"/>
                  <a:lumOff val="65000"/>
                </a:schemeClr>
              </a:solidFill>
              <a:round/>
            </a:ln>
            <a:effectLst/>
          </c:spPr>
        </c:serLines>
      </c:of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Transportation CO2e Emissions by Transportation Mode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F1E1C0"/>
              </a:solidFill>
              <a:ln>
                <a:noFill/>
              </a:ln>
              <a:effectLst/>
            </c:spPr>
            <c:extLst>
              <c:ext xmlns:c16="http://schemas.microsoft.com/office/drawing/2014/chart" uri="{C3380CC4-5D6E-409C-BE32-E72D297353CC}">
                <c16:uniqueId val="{00000004-C407-4708-BF1A-50F91473C0C3}"/>
              </c:ext>
            </c:extLst>
          </c:dPt>
          <c:dPt>
            <c:idx val="1"/>
            <c:invertIfNegative val="0"/>
            <c:bubble3D val="0"/>
            <c:spPr>
              <a:solidFill>
                <a:srgbClr val="FFA168"/>
              </a:solidFill>
              <a:ln>
                <a:noFill/>
              </a:ln>
              <a:effectLst/>
            </c:spPr>
            <c:extLst>
              <c:ext xmlns:c16="http://schemas.microsoft.com/office/drawing/2014/chart" uri="{C3380CC4-5D6E-409C-BE32-E72D297353CC}">
                <c16:uniqueId val="{00000003-C407-4708-BF1A-50F91473C0C3}"/>
              </c:ext>
            </c:extLst>
          </c:dPt>
          <c:dPt>
            <c:idx val="2"/>
            <c:invertIfNegative val="0"/>
            <c:bubble3D val="0"/>
            <c:spPr>
              <a:solidFill>
                <a:srgbClr val="718C55"/>
              </a:solidFill>
              <a:ln>
                <a:noFill/>
              </a:ln>
              <a:effectLst/>
            </c:spPr>
            <c:extLst>
              <c:ext xmlns:c16="http://schemas.microsoft.com/office/drawing/2014/chart" uri="{C3380CC4-5D6E-409C-BE32-E72D297353CC}">
                <c16:uniqueId val="{00000002-C407-4708-BF1A-50F91473C0C3}"/>
              </c:ext>
            </c:extLst>
          </c:dPt>
          <c:dPt>
            <c:idx val="3"/>
            <c:invertIfNegative val="0"/>
            <c:bubble3D val="0"/>
            <c:spPr>
              <a:solidFill>
                <a:srgbClr val="026773"/>
              </a:solidFill>
              <a:ln>
                <a:noFill/>
              </a:ln>
              <a:effectLst/>
            </c:spPr>
            <c:extLst>
              <c:ext xmlns:c16="http://schemas.microsoft.com/office/drawing/2014/chart" uri="{C3380CC4-5D6E-409C-BE32-E72D297353CC}">
                <c16:uniqueId val="{00000001-C407-4708-BF1A-50F91473C0C3}"/>
              </c:ext>
            </c:extLst>
          </c:dPt>
          <c:cat>
            <c:strRef>
              <c:f>Transportation!$J$8:$J$11</c:f>
              <c:strCache>
                <c:ptCount val="4"/>
                <c:pt idx="0">
                  <c:v>Aircrafts</c:v>
                </c:pt>
                <c:pt idx="1">
                  <c:v>Rail</c:v>
                </c:pt>
                <c:pt idx="2">
                  <c:v>Non-road vehicles and equipment</c:v>
                </c:pt>
                <c:pt idx="3">
                  <c:v>On-road vehicles</c:v>
                </c:pt>
              </c:strCache>
            </c:strRef>
          </c:cat>
          <c:val>
            <c:numRef>
              <c:f>Transportation!$K$8:$K$11</c:f>
              <c:numCache>
                <c:formatCode>0.000000000</c:formatCode>
                <c:ptCount val="4"/>
                <c:pt idx="0" formatCode="General">
                  <c:v>0.4526120942657384</c:v>
                </c:pt>
                <c:pt idx="1">
                  <c:v>1.2048597316085574</c:v>
                </c:pt>
                <c:pt idx="2" formatCode="General">
                  <c:v>1.2661455230000001</c:v>
                </c:pt>
                <c:pt idx="3">
                  <c:v>14.311867290009186</c:v>
                </c:pt>
              </c:numCache>
            </c:numRef>
          </c:val>
          <c:extLst>
            <c:ext xmlns:c16="http://schemas.microsoft.com/office/drawing/2014/chart" uri="{C3380CC4-5D6E-409C-BE32-E72D297353CC}">
              <c16:uniqueId val="{00000000-C407-4708-BF1A-50F91473C0C3}"/>
            </c:ext>
          </c:extLst>
        </c:ser>
        <c:dLbls>
          <c:showLegendKey val="0"/>
          <c:showVal val="0"/>
          <c:showCatName val="0"/>
          <c:showSerName val="0"/>
          <c:showPercent val="0"/>
          <c:showBubbleSize val="0"/>
        </c:dLbls>
        <c:gapWidth val="219"/>
        <c:overlap val="-27"/>
        <c:axId val="630736783"/>
        <c:axId val="839010927"/>
      </c:barChart>
      <c:catAx>
        <c:axId val="6307367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9010927"/>
        <c:crosses val="autoZero"/>
        <c:auto val="1"/>
        <c:lblAlgn val="ctr"/>
        <c:lblOffset val="100"/>
        <c:noMultiLvlLbl val="0"/>
      </c:catAx>
      <c:valAx>
        <c:axId val="83901092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CO2e (MMT)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73678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On-Road CO2e Emissions by Transportation</a:t>
            </a:r>
            <a:r>
              <a:rPr lang="en-US" baseline="0"/>
              <a:t> Mode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215EA7"/>
              </a:solidFill>
              <a:ln>
                <a:noFill/>
              </a:ln>
              <a:effectLst/>
            </c:spPr>
            <c:extLst>
              <c:ext xmlns:c16="http://schemas.microsoft.com/office/drawing/2014/chart" uri="{C3380CC4-5D6E-409C-BE32-E72D297353CC}">
                <c16:uniqueId val="{00000001-ACA2-41B3-B547-9FF78A232C8B}"/>
              </c:ext>
            </c:extLst>
          </c:dPt>
          <c:dPt>
            <c:idx val="1"/>
            <c:invertIfNegative val="0"/>
            <c:bubble3D val="0"/>
            <c:spPr>
              <a:solidFill>
                <a:srgbClr val="DF7D2A"/>
              </a:solidFill>
              <a:ln>
                <a:noFill/>
              </a:ln>
              <a:effectLst/>
            </c:spPr>
            <c:extLst>
              <c:ext xmlns:c16="http://schemas.microsoft.com/office/drawing/2014/chart" uri="{C3380CC4-5D6E-409C-BE32-E72D297353CC}">
                <c16:uniqueId val="{00000002-ACA2-41B3-B547-9FF78A232C8B}"/>
              </c:ext>
            </c:extLst>
          </c:dPt>
          <c:dPt>
            <c:idx val="2"/>
            <c:invertIfNegative val="0"/>
            <c:bubble3D val="0"/>
            <c:spPr>
              <a:solidFill>
                <a:srgbClr val="008541"/>
              </a:solidFill>
              <a:ln>
                <a:noFill/>
              </a:ln>
              <a:effectLst/>
            </c:spPr>
            <c:extLst>
              <c:ext xmlns:c16="http://schemas.microsoft.com/office/drawing/2014/chart" uri="{C3380CC4-5D6E-409C-BE32-E72D297353CC}">
                <c16:uniqueId val="{00000003-ACA2-41B3-B547-9FF78A232C8B}"/>
              </c:ext>
            </c:extLst>
          </c:dPt>
          <c:dPt>
            <c:idx val="3"/>
            <c:invertIfNegative val="0"/>
            <c:bubble3D val="0"/>
            <c:spPr>
              <a:solidFill>
                <a:srgbClr val="0D2345"/>
              </a:solidFill>
              <a:ln>
                <a:noFill/>
              </a:ln>
              <a:effectLst/>
            </c:spPr>
            <c:extLst>
              <c:ext xmlns:c16="http://schemas.microsoft.com/office/drawing/2014/chart" uri="{C3380CC4-5D6E-409C-BE32-E72D297353CC}">
                <c16:uniqueId val="{00000004-ACA2-41B3-B547-9FF78A232C8B}"/>
              </c:ext>
            </c:extLst>
          </c:dPt>
          <c:dPt>
            <c:idx val="4"/>
            <c:invertIfNegative val="0"/>
            <c:bubble3D val="0"/>
            <c:spPr>
              <a:solidFill>
                <a:srgbClr val="B5CAE7"/>
              </a:solidFill>
              <a:ln>
                <a:noFill/>
              </a:ln>
              <a:effectLst/>
            </c:spPr>
            <c:extLst>
              <c:ext xmlns:c16="http://schemas.microsoft.com/office/drawing/2014/chart" uri="{C3380CC4-5D6E-409C-BE32-E72D297353CC}">
                <c16:uniqueId val="{00000005-ACA2-41B3-B547-9FF78A232C8B}"/>
              </c:ext>
            </c:extLst>
          </c:dPt>
          <c:cat>
            <c:strRef>
              <c:f>Transportation!$J$12:$J$16</c:f>
              <c:strCache>
                <c:ptCount val="5"/>
                <c:pt idx="0">
                  <c:v>Passenger cars</c:v>
                </c:pt>
                <c:pt idx="1">
                  <c:v>Light-duty trucks</c:v>
                </c:pt>
                <c:pt idx="2">
                  <c:v>Medium-heavy-duty trucks</c:v>
                </c:pt>
                <c:pt idx="3">
                  <c:v>Buses</c:v>
                </c:pt>
                <c:pt idx="4">
                  <c:v>Motorcycles</c:v>
                </c:pt>
              </c:strCache>
            </c:strRef>
          </c:cat>
          <c:val>
            <c:numRef>
              <c:f>Transportation!$K$12:$K$16</c:f>
              <c:numCache>
                <c:formatCode>0.000000000</c:formatCode>
                <c:ptCount val="5"/>
                <c:pt idx="0">
                  <c:v>2.1214154590484089</c:v>
                </c:pt>
                <c:pt idx="1">
                  <c:v>6.3789993584750126</c:v>
                </c:pt>
                <c:pt idx="2">
                  <c:v>5.3796029343880614</c:v>
                </c:pt>
                <c:pt idx="3">
                  <c:v>0.2511737515458114</c:v>
                </c:pt>
                <c:pt idx="4">
                  <c:v>0.18067578655189334</c:v>
                </c:pt>
              </c:numCache>
            </c:numRef>
          </c:val>
          <c:extLst>
            <c:ext xmlns:c16="http://schemas.microsoft.com/office/drawing/2014/chart" uri="{C3380CC4-5D6E-409C-BE32-E72D297353CC}">
              <c16:uniqueId val="{00000000-ACA2-41B3-B547-9FF78A232C8B}"/>
            </c:ext>
          </c:extLst>
        </c:ser>
        <c:dLbls>
          <c:showLegendKey val="0"/>
          <c:showVal val="0"/>
          <c:showCatName val="0"/>
          <c:showSerName val="0"/>
          <c:showPercent val="0"/>
          <c:showBubbleSize val="0"/>
        </c:dLbls>
        <c:gapWidth val="219"/>
        <c:overlap val="-27"/>
        <c:axId val="630754415"/>
        <c:axId val="839024367"/>
      </c:barChart>
      <c:catAx>
        <c:axId val="6307544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9024367"/>
        <c:crosses val="autoZero"/>
        <c:auto val="1"/>
        <c:lblAlgn val="ctr"/>
        <c:lblOffset val="100"/>
        <c:noMultiLvlLbl val="0"/>
      </c:catAx>
      <c:valAx>
        <c:axId val="839024367"/>
        <c:scaling>
          <c:orientation val="minMax"/>
        </c:scaling>
        <c:delete val="0"/>
        <c:axPos val="l"/>
        <c:majorGridlines>
          <c:spPr>
            <a:ln w="9525" cap="flat" cmpd="sng" algn="ctr">
              <a:solidFill>
                <a:schemeClr val="tx1">
                  <a:lumMod val="15000"/>
                  <a:lumOff val="85000"/>
                </a:schemeClr>
              </a:solidFill>
              <a:round/>
            </a:ln>
            <a:effectLst/>
          </c:spPr>
        </c:majorGridlines>
        <c:numFmt formatCode="0.000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7544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EPA EMP Projections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0"/>
          <c:spPr>
            <a:ln w="25400" cap="rnd">
              <a:noFill/>
              <a:round/>
            </a:ln>
            <a:effectLst/>
          </c:spPr>
          <c:marker>
            <c:symbol val="circle"/>
            <c:size val="5"/>
            <c:spPr>
              <a:solidFill>
                <a:schemeClr val="accent2"/>
              </a:solidFill>
              <a:ln w="9525">
                <a:solidFill>
                  <a:schemeClr val="accent2"/>
                </a:solidFill>
              </a:ln>
              <a:effectLst/>
            </c:spPr>
          </c:marker>
          <c:xVal>
            <c:numRef>
              <c:f>'Rail Calculation'!$S$5:$S$8</c:f>
              <c:numCache>
                <c:formatCode>General</c:formatCode>
                <c:ptCount val="4"/>
                <c:pt idx="0">
                  <c:v>2022</c:v>
                </c:pt>
                <c:pt idx="1">
                  <c:v>2026</c:v>
                </c:pt>
                <c:pt idx="2">
                  <c:v>2032</c:v>
                </c:pt>
                <c:pt idx="3">
                  <c:v>2038</c:v>
                </c:pt>
              </c:numCache>
            </c:numRef>
          </c:xVal>
          <c:yVal>
            <c:numRef>
              <c:f>'Rail Calculation'!$T$5:$T$8</c:f>
              <c:numCache>
                <c:formatCode>_(* #,##0.00_);_(* \(#,##0.00\);_(* "-"??_);_(@_)</c:formatCode>
                <c:ptCount val="4"/>
                <c:pt idx="0" formatCode="#,##0.00">
                  <c:v>118490170.59787859</c:v>
                </c:pt>
                <c:pt idx="1">
                  <c:v>117487184.61796677</c:v>
                </c:pt>
                <c:pt idx="2">
                  <c:v>118903819.41317257</c:v>
                </c:pt>
                <c:pt idx="3">
                  <c:v>127111266.0840252</c:v>
                </c:pt>
              </c:numCache>
            </c:numRef>
          </c:yVal>
          <c:smooth val="0"/>
          <c:extLst>
            <c:ext xmlns:c16="http://schemas.microsoft.com/office/drawing/2014/chart" uri="{C3380CC4-5D6E-409C-BE32-E72D297353CC}">
              <c16:uniqueId val="{00000000-3C45-428D-9826-A4495CE44F9F}"/>
            </c:ext>
          </c:extLst>
        </c:ser>
        <c:dLbls>
          <c:showLegendKey val="0"/>
          <c:showVal val="0"/>
          <c:showCatName val="0"/>
          <c:showSerName val="0"/>
          <c:showPercent val="0"/>
          <c:showBubbleSize val="0"/>
        </c:dLbls>
        <c:axId val="1566053295"/>
        <c:axId val="1566059055"/>
      </c:scatterChart>
      <c:valAx>
        <c:axId val="1566053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6059055"/>
        <c:crosses val="autoZero"/>
        <c:crossBetween val="midCat"/>
      </c:valAx>
      <c:valAx>
        <c:axId val="1566059055"/>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6605329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Electricity</a:t>
            </a:r>
            <a:r>
              <a:rPr lang="en-US" baseline="0"/>
              <a:t> Generation CO2e Emissions by Fuel Type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2"/>
            <c:invertIfNegative val="0"/>
            <c:bubble3D val="0"/>
            <c:spPr>
              <a:solidFill>
                <a:srgbClr val="FFA168"/>
              </a:solidFill>
              <a:ln>
                <a:noFill/>
              </a:ln>
              <a:effectLst/>
            </c:spPr>
            <c:extLst>
              <c:ext xmlns:c16="http://schemas.microsoft.com/office/drawing/2014/chart" uri="{C3380CC4-5D6E-409C-BE32-E72D297353CC}">
                <c16:uniqueId val="{00000001-0FCF-4E5F-88E7-1E77489B84CE}"/>
              </c:ext>
            </c:extLst>
          </c:dPt>
          <c:dPt>
            <c:idx val="3"/>
            <c:invertIfNegative val="0"/>
            <c:bubble3D val="0"/>
            <c:spPr>
              <a:solidFill>
                <a:srgbClr val="718C55"/>
              </a:solidFill>
              <a:ln>
                <a:noFill/>
              </a:ln>
              <a:effectLst/>
            </c:spPr>
            <c:extLst>
              <c:ext xmlns:c16="http://schemas.microsoft.com/office/drawing/2014/chart" uri="{C3380CC4-5D6E-409C-BE32-E72D297353CC}">
                <c16:uniqueId val="{00000002-0FCF-4E5F-88E7-1E77489B84C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'Electricity Generation'!$S$7:$S$12</c15:sqref>
                  </c15:fullRef>
                </c:ext>
              </c:extLst>
              <c:f>('Electricity Generation'!$S$7:$S$9,'Electricity Generation'!$S$12)</c:f>
              <c:strCache>
                <c:ptCount val="4"/>
                <c:pt idx="0">
                  <c:v>Biomass</c:v>
                </c:pt>
                <c:pt idx="1">
                  <c:v>Coal</c:v>
                </c:pt>
                <c:pt idx="2">
                  <c:v>Natural Gas</c:v>
                </c:pt>
                <c:pt idx="3">
                  <c:v>Oil</c:v>
                </c:pt>
              </c:strCache>
            </c:strRef>
          </c:cat>
          <c:val>
            <c:numRef>
              <c:extLst>
                <c:ext xmlns:c15="http://schemas.microsoft.com/office/drawing/2012/chart" uri="{02D57815-91ED-43cb-92C2-25804820EDAC}">
                  <c15:fullRef>
                    <c15:sqref>'Electricity Generation'!$Q$7:$Q$12</c15:sqref>
                  </c15:fullRef>
                </c:ext>
              </c:extLst>
              <c:f>('Electricity Generation'!$Q$7:$Q$9,'Electricity Generation'!$Q$12)</c:f>
              <c:numCache>
                <c:formatCode>#,##0</c:formatCode>
                <c:ptCount val="4"/>
                <c:pt idx="0">
                  <c:v>3874.4800871699999</c:v>
                </c:pt>
                <c:pt idx="1">
                  <c:v>0</c:v>
                </c:pt>
                <c:pt idx="2">
                  <c:v>6529974.7826549998</c:v>
                </c:pt>
                <c:pt idx="3">
                  <c:v>64792.420944630001</c:v>
                </c:pt>
              </c:numCache>
            </c:numRef>
          </c:val>
          <c:extLst>
            <c:ext xmlns:c16="http://schemas.microsoft.com/office/drawing/2014/chart" uri="{C3380CC4-5D6E-409C-BE32-E72D297353CC}">
              <c16:uniqueId val="{00000000-0FCF-4E5F-88E7-1E77489B84CE}"/>
            </c:ext>
          </c:extLst>
        </c:ser>
        <c:dLbls>
          <c:showLegendKey val="0"/>
          <c:showVal val="0"/>
          <c:showCatName val="0"/>
          <c:showSerName val="0"/>
          <c:showPercent val="0"/>
          <c:showBubbleSize val="0"/>
        </c:dLbls>
        <c:gapWidth val="75"/>
        <c:overlap val="-25"/>
        <c:axId val="1118082767"/>
        <c:axId val="839047887"/>
      </c:barChart>
      <c:catAx>
        <c:axId val="11180827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9047887"/>
        <c:crosses val="autoZero"/>
        <c:auto val="1"/>
        <c:lblAlgn val="ctr"/>
        <c:lblOffset val="100"/>
        <c:noMultiLvlLbl val="0"/>
      </c:catAx>
      <c:valAx>
        <c:axId val="83904788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CO2e Emissions (MT)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80827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2023 Net Generation by</a:t>
            </a:r>
            <a:r>
              <a:rPr lang="en-US" baseline="0"/>
              <a:t> Fuel Type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718C55"/>
              </a:solidFill>
              <a:ln w="19050">
                <a:solidFill>
                  <a:schemeClr val="lt1"/>
                </a:solidFill>
              </a:ln>
              <a:effectLst/>
            </c:spPr>
            <c:extLst>
              <c:ext xmlns:c16="http://schemas.microsoft.com/office/drawing/2014/chart" uri="{C3380CC4-5D6E-409C-BE32-E72D297353CC}">
                <c16:uniqueId val="{00000002-E2A4-4124-B68F-3F28672BB7DB}"/>
              </c:ext>
            </c:extLst>
          </c:dPt>
          <c:dPt>
            <c:idx val="1"/>
            <c:bubble3D val="0"/>
            <c:spPr>
              <a:solidFill>
                <a:srgbClr val="026773"/>
              </a:solidFill>
              <a:ln w="19050">
                <a:solidFill>
                  <a:schemeClr val="lt1"/>
                </a:solidFill>
              </a:ln>
              <a:effectLst/>
            </c:spPr>
            <c:extLst>
              <c:ext xmlns:c16="http://schemas.microsoft.com/office/drawing/2014/chart" uri="{C3380CC4-5D6E-409C-BE32-E72D297353CC}">
                <c16:uniqueId val="{00000001-E2A4-4124-B68F-3F28672BB7DB}"/>
              </c:ext>
            </c:extLst>
          </c:dPt>
          <c:dPt>
            <c:idx val="2"/>
            <c:bubble3D val="0"/>
            <c:spPr>
              <a:solidFill>
                <a:srgbClr val="FFA168"/>
              </a:solidFill>
              <a:ln w="19050">
                <a:solidFill>
                  <a:schemeClr val="lt1"/>
                </a:solidFill>
              </a:ln>
              <a:effectLst/>
            </c:spPr>
            <c:extLst>
              <c:ext xmlns:c16="http://schemas.microsoft.com/office/drawing/2014/chart" uri="{C3380CC4-5D6E-409C-BE32-E72D297353CC}">
                <c16:uniqueId val="{00000003-E2A4-4124-B68F-3F28672BB7DB}"/>
              </c:ext>
            </c:extLst>
          </c:dPt>
          <c:dPt>
            <c:idx val="3"/>
            <c:bubble3D val="0"/>
            <c:spPr>
              <a:solidFill>
                <a:srgbClr val="0D2345"/>
              </a:solidFill>
              <a:ln w="19050">
                <a:solidFill>
                  <a:schemeClr val="lt1"/>
                </a:solidFill>
              </a:ln>
              <a:effectLst/>
            </c:spPr>
            <c:extLst>
              <c:ext xmlns:c16="http://schemas.microsoft.com/office/drawing/2014/chart" uri="{C3380CC4-5D6E-409C-BE32-E72D297353CC}">
                <c16:uniqueId val="{00000004-E2A4-4124-B68F-3F28672BB7D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'Electricity Generation'!$K$25:$K$28</c:f>
              <c:strCache>
                <c:ptCount val="4"/>
                <c:pt idx="0">
                  <c:v>Natural Gas</c:v>
                </c:pt>
                <c:pt idx="1">
                  <c:v>Wind</c:v>
                </c:pt>
                <c:pt idx="2">
                  <c:v>Solar</c:v>
                </c:pt>
                <c:pt idx="3">
                  <c:v>Other</c:v>
                </c:pt>
              </c:strCache>
            </c:strRef>
          </c:cat>
          <c:val>
            <c:numRef>
              <c:f>'Electricity Generation'!$L$25:$L$28</c:f>
              <c:numCache>
                <c:formatCode>#,##0</c:formatCode>
                <c:ptCount val="4"/>
                <c:pt idx="0">
                  <c:v>14161265.005000001</c:v>
                </c:pt>
                <c:pt idx="1">
                  <c:v>14914316</c:v>
                </c:pt>
                <c:pt idx="2">
                  <c:v>2434562.66</c:v>
                </c:pt>
                <c:pt idx="3">
                  <c:v>313804.098</c:v>
                </c:pt>
              </c:numCache>
            </c:numRef>
          </c:val>
          <c:extLst>
            <c:ext xmlns:c16="http://schemas.microsoft.com/office/drawing/2014/chart" uri="{C3380CC4-5D6E-409C-BE32-E72D297353CC}">
              <c16:uniqueId val="{00000000-E2A4-4124-B68F-3F28672BB7DB}"/>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Emissions by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FFA168"/>
              </a:solidFill>
              <a:ln w="19050">
                <a:solidFill>
                  <a:schemeClr val="lt1"/>
                </a:solidFill>
              </a:ln>
              <a:effectLst/>
            </c:spPr>
            <c:extLst>
              <c:ext xmlns:c16="http://schemas.microsoft.com/office/drawing/2014/chart" uri="{C3380CC4-5D6E-409C-BE32-E72D297353CC}">
                <c16:uniqueId val="{00000003-6BAE-4DDB-A066-44A897989715}"/>
              </c:ext>
            </c:extLst>
          </c:dPt>
          <c:dPt>
            <c:idx val="1"/>
            <c:bubble3D val="0"/>
            <c:spPr>
              <a:solidFill>
                <a:srgbClr val="718C55"/>
              </a:solidFill>
              <a:ln w="19050">
                <a:solidFill>
                  <a:schemeClr val="lt1"/>
                </a:solidFill>
              </a:ln>
              <a:effectLst/>
            </c:spPr>
            <c:extLst>
              <c:ext xmlns:c16="http://schemas.microsoft.com/office/drawing/2014/chart" uri="{C3380CC4-5D6E-409C-BE32-E72D297353CC}">
                <c16:uniqueId val="{00000002-6BAE-4DDB-A066-44A897989715}"/>
              </c:ext>
            </c:extLst>
          </c:dPt>
          <c:dPt>
            <c:idx val="2"/>
            <c:bubble3D val="0"/>
            <c:spPr>
              <a:solidFill>
                <a:srgbClr val="026773"/>
              </a:solidFill>
              <a:ln w="19050">
                <a:solidFill>
                  <a:schemeClr val="lt1"/>
                </a:solidFill>
              </a:ln>
              <a:effectLst/>
            </c:spPr>
            <c:extLst>
              <c:ext xmlns:c16="http://schemas.microsoft.com/office/drawing/2014/chart" uri="{C3380CC4-5D6E-409C-BE32-E72D297353CC}">
                <c16:uniqueId val="{00000001-6BAE-4DDB-A066-44A89798971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D2E-4E7A-BCF2-9E1D36C020A4}"/>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ED2E-4E7A-BCF2-9E1D36C020A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Agriculture!$AM$7:$AM$11</c:f>
              <c:strCache>
                <c:ptCount val="5"/>
                <c:pt idx="0">
                  <c:v>Enteric Fermentation</c:v>
                </c:pt>
                <c:pt idx="1">
                  <c:v>Manure Management</c:v>
                </c:pt>
                <c:pt idx="2">
                  <c:v>Agricultural Soil Management</c:v>
                </c:pt>
                <c:pt idx="3">
                  <c:v>Urea Fertilization</c:v>
                </c:pt>
                <c:pt idx="4">
                  <c:v>Field Burning of Agricultural Residues</c:v>
                </c:pt>
              </c:strCache>
            </c:strRef>
          </c:cat>
          <c:val>
            <c:numRef>
              <c:f>Agriculture!$AN$7:$AN$11</c:f>
              <c:numCache>
                <c:formatCode>_(* #,##0.00_);_(* \(#,##0.00\);_(* "-"??_);_(@_)</c:formatCode>
                <c:ptCount val="5"/>
                <c:pt idx="0">
                  <c:v>3.2058834469360655</c:v>
                </c:pt>
                <c:pt idx="1">
                  <c:v>1.2605021431226806</c:v>
                </c:pt>
                <c:pt idx="2">
                  <c:v>5.5953070483188769</c:v>
                </c:pt>
                <c:pt idx="3">
                  <c:v>6.8938586437748989E-3</c:v>
                </c:pt>
                <c:pt idx="4">
                  <c:v>3.2965418752601587E-3</c:v>
                </c:pt>
              </c:numCache>
            </c:numRef>
          </c:val>
          <c:extLst>
            <c:ext xmlns:c16="http://schemas.microsoft.com/office/drawing/2014/chart" uri="{C3380CC4-5D6E-409C-BE32-E72D297353CC}">
              <c16:uniqueId val="{00000000-6BAE-4DDB-A066-44A897989715}"/>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CO2e Emissions by Fuel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4-49DF-4B1D-940C-01F7BD6EE7A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49DF-4B1D-940C-01F7BD6EE7AD}"/>
              </c:ext>
            </c:extLst>
          </c:dPt>
          <c:dPt>
            <c:idx val="2"/>
            <c:bubble3D val="0"/>
            <c:spPr>
              <a:solidFill>
                <a:srgbClr val="FFA168"/>
              </a:solidFill>
              <a:ln w="19050">
                <a:solidFill>
                  <a:schemeClr val="lt1"/>
                </a:solidFill>
              </a:ln>
              <a:effectLst/>
            </c:spPr>
            <c:extLst>
              <c:ext xmlns:c16="http://schemas.microsoft.com/office/drawing/2014/chart" uri="{C3380CC4-5D6E-409C-BE32-E72D297353CC}">
                <c16:uniqueId val="{00000001-49DF-4B1D-940C-01F7BD6EE7AD}"/>
              </c:ext>
            </c:extLst>
          </c:dPt>
          <c:dPt>
            <c:idx val="3"/>
            <c:bubble3D val="0"/>
            <c:spPr>
              <a:solidFill>
                <a:srgbClr val="718C55"/>
              </a:solidFill>
              <a:ln w="19050">
                <a:solidFill>
                  <a:schemeClr val="lt1"/>
                </a:solidFill>
              </a:ln>
              <a:effectLst/>
            </c:spPr>
            <c:extLst>
              <c:ext xmlns:c16="http://schemas.microsoft.com/office/drawing/2014/chart" uri="{C3380CC4-5D6E-409C-BE32-E72D297353CC}">
                <c16:uniqueId val="{00000002-49DF-4B1D-940C-01F7BD6EE7AD}"/>
              </c:ext>
            </c:extLst>
          </c:dPt>
          <c:dPt>
            <c:idx val="4"/>
            <c:bubble3D val="0"/>
            <c:spPr>
              <a:solidFill>
                <a:srgbClr val="026773"/>
              </a:solidFill>
              <a:ln w="19050">
                <a:solidFill>
                  <a:schemeClr val="lt1"/>
                </a:solidFill>
              </a:ln>
              <a:effectLst/>
            </c:spPr>
            <c:extLst>
              <c:ext xmlns:c16="http://schemas.microsoft.com/office/drawing/2014/chart" uri="{C3380CC4-5D6E-409C-BE32-E72D297353CC}">
                <c16:uniqueId val="{00000003-49DF-4B1D-940C-01F7BD6EE7AD}"/>
              </c:ext>
            </c:extLst>
          </c:dPt>
          <c:dLbls>
            <c:dLbl>
              <c:idx val="0"/>
              <c:layout>
                <c:manualLayout>
                  <c:x val="0.16911764705882343"/>
                  <c:y val="0.10039674459159054"/>
                </c:manualLayout>
              </c:layout>
              <c:showLegendKey val="0"/>
              <c:showVal val="0"/>
              <c:showCatName val="1"/>
              <c:showSerName val="0"/>
              <c:showPercent val="1"/>
              <c:showBubbleSize val="0"/>
              <c:extLst>
                <c:ext xmlns:c15="http://schemas.microsoft.com/office/drawing/2012/chart" uri="{CE6537A1-D6FC-4f65-9D91-7224C49458BB}">
                  <c15:layout>
                    <c:manualLayout>
                      <c:w val="0.11090686274509803"/>
                      <c:h val="0.13812947553700403"/>
                    </c:manualLayout>
                  </c15:layout>
                </c:ext>
                <c:ext xmlns:c16="http://schemas.microsoft.com/office/drawing/2014/chart" uri="{C3380CC4-5D6E-409C-BE32-E72D297353CC}">
                  <c16:uniqueId val="{00000004-49DF-4B1D-940C-01F7BD6EE7AD}"/>
                </c:ext>
              </c:extLst>
            </c:dLbl>
            <c:dLbl>
              <c:idx val="1"/>
              <c:layout>
                <c:manualLayout>
                  <c:x val="4.2622935000771869E-2"/>
                  <c:y val="5.2115779812189839E-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9DF-4B1D-940C-01F7BD6EE7AD}"/>
                </c:ext>
              </c:extLst>
            </c:dLbl>
            <c:dLbl>
              <c:idx val="2"/>
              <c:layout>
                <c:manualLayout>
                  <c:x val="-8.8072120580515667E-2"/>
                  <c:y val="-0.2075836465818997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9DF-4B1D-940C-01F7BD6EE7AD}"/>
                </c:ext>
              </c:extLst>
            </c:dLbl>
            <c:dLbl>
              <c:idx val="3"/>
              <c:layout>
                <c:manualLayout>
                  <c:x val="8.1318415161340085E-2"/>
                  <c:y val="0.1331024931584821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9DF-4B1D-940C-01F7BD6EE7AD}"/>
                </c:ext>
              </c:extLst>
            </c:dLbl>
            <c:dLbl>
              <c:idx val="4"/>
              <c:layout>
                <c:manualLayout>
                  <c:x val="-9.0859194071329322E-2"/>
                  <c:y val="2.254332256374590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9DF-4B1D-940C-01F7BD6EE7A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'Residential Buildings'!$A$7:$A$11</c:f>
              <c:strCache>
                <c:ptCount val="5"/>
                <c:pt idx="0">
                  <c:v>Distillate Fuel Oil</c:v>
                </c:pt>
                <c:pt idx="1">
                  <c:v>Kerosene</c:v>
                </c:pt>
                <c:pt idx="2">
                  <c:v>Natural Gas</c:v>
                </c:pt>
                <c:pt idx="3">
                  <c:v>Propane</c:v>
                </c:pt>
                <c:pt idx="4">
                  <c:v>Wood</c:v>
                </c:pt>
              </c:strCache>
            </c:strRef>
          </c:cat>
          <c:val>
            <c:numRef>
              <c:f>'Residential Buildings'!$E$7:$E$11</c:f>
              <c:numCache>
                <c:formatCode>_(* #,##0_);_(* \(#,##0\);_(* "-"_);_(@_)</c:formatCode>
                <c:ptCount val="5"/>
                <c:pt idx="0">
                  <c:v>522.22218704665568</c:v>
                </c:pt>
                <c:pt idx="1">
                  <c:v>73.649836244760337</c:v>
                </c:pt>
                <c:pt idx="2">
                  <c:v>2003453.0658532181</c:v>
                </c:pt>
                <c:pt idx="3">
                  <c:v>291710.64590712124</c:v>
                </c:pt>
                <c:pt idx="4">
                  <c:v>55363.661972722592</c:v>
                </c:pt>
              </c:numCache>
            </c:numRef>
          </c:val>
          <c:extLst>
            <c:ext xmlns:c16="http://schemas.microsoft.com/office/drawing/2014/chart" uri="{C3380CC4-5D6E-409C-BE32-E72D297353CC}">
              <c16:uniqueId val="{00000000-49DF-4B1D-940C-01F7BD6EE7AD}"/>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CO2e Emissions by Fuel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0D2345"/>
              </a:solidFill>
              <a:ln w="19050">
                <a:solidFill>
                  <a:schemeClr val="lt1"/>
                </a:solidFill>
              </a:ln>
              <a:effectLst/>
            </c:spPr>
            <c:extLst>
              <c:ext xmlns:c16="http://schemas.microsoft.com/office/drawing/2014/chart" uri="{C3380CC4-5D6E-409C-BE32-E72D297353CC}">
                <c16:uniqueId val="{00000004-B518-4E9B-A86D-5EA4D2CD8DD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EC9-478D-9B2D-BAA23948F805}"/>
              </c:ext>
            </c:extLst>
          </c:dPt>
          <c:dPt>
            <c:idx val="2"/>
            <c:bubble3D val="0"/>
            <c:spPr>
              <a:solidFill>
                <a:srgbClr val="FFA168"/>
              </a:solidFill>
              <a:ln w="19050">
                <a:solidFill>
                  <a:schemeClr val="lt1"/>
                </a:solidFill>
              </a:ln>
              <a:effectLst/>
            </c:spPr>
            <c:extLst>
              <c:ext xmlns:c16="http://schemas.microsoft.com/office/drawing/2014/chart" uri="{C3380CC4-5D6E-409C-BE32-E72D297353CC}">
                <c16:uniqueId val="{00000001-B518-4E9B-A86D-5EA4D2CD8DD8}"/>
              </c:ext>
            </c:extLst>
          </c:dPt>
          <c:dPt>
            <c:idx val="3"/>
            <c:bubble3D val="0"/>
            <c:spPr>
              <a:solidFill>
                <a:srgbClr val="718C55"/>
              </a:solidFill>
              <a:ln w="19050">
                <a:solidFill>
                  <a:schemeClr val="lt1"/>
                </a:solidFill>
              </a:ln>
              <a:effectLst/>
            </c:spPr>
            <c:extLst>
              <c:ext xmlns:c16="http://schemas.microsoft.com/office/drawing/2014/chart" uri="{C3380CC4-5D6E-409C-BE32-E72D297353CC}">
                <c16:uniqueId val="{00000003-B518-4E9B-A86D-5EA4D2CD8DD8}"/>
              </c:ext>
            </c:extLst>
          </c:dPt>
          <c:dPt>
            <c:idx val="4"/>
            <c:bubble3D val="0"/>
            <c:spPr>
              <a:solidFill>
                <a:srgbClr val="026773"/>
              </a:solidFill>
              <a:ln w="19050">
                <a:solidFill>
                  <a:schemeClr val="lt1"/>
                </a:solidFill>
              </a:ln>
              <a:effectLst/>
            </c:spPr>
            <c:extLst>
              <c:ext xmlns:c16="http://schemas.microsoft.com/office/drawing/2014/chart" uri="{C3380CC4-5D6E-409C-BE32-E72D297353CC}">
                <c16:uniqueId val="{00000002-B518-4E9B-A86D-5EA4D2CD8DD8}"/>
              </c:ext>
            </c:extLst>
          </c:dPt>
          <c:dLbls>
            <c:dLbl>
              <c:idx val="0"/>
              <c:layout>
                <c:manualLayout>
                  <c:x val="8.4855205599300085E-2"/>
                  <c:y val="-2.099737532808399E-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518-4E9B-A86D-5EA4D2CD8DD8}"/>
                </c:ext>
              </c:extLst>
            </c:dLbl>
            <c:dLbl>
              <c:idx val="3"/>
              <c:layout>
                <c:manualLayout>
                  <c:x val="-3.9420056867891511E-2"/>
                  <c:y val="1.836541265675123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518-4E9B-A86D-5EA4D2CD8DD8}"/>
                </c:ext>
              </c:extLst>
            </c:dLbl>
            <c:dLbl>
              <c:idx val="4"/>
              <c:layout>
                <c:manualLayout>
                  <c:x val="-2.9433180227471618E-2"/>
                  <c:y val="-1.096566054243218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518-4E9B-A86D-5EA4D2CD8DD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'Commercial Buildings'!$A$7:$A$11</c:f>
              <c:strCache>
                <c:ptCount val="5"/>
                <c:pt idx="0">
                  <c:v>Distillate Fuel Oil</c:v>
                </c:pt>
                <c:pt idx="1">
                  <c:v>Kerosene</c:v>
                </c:pt>
                <c:pt idx="2">
                  <c:v>Natural Gas</c:v>
                </c:pt>
                <c:pt idx="3">
                  <c:v>Propane</c:v>
                </c:pt>
                <c:pt idx="4">
                  <c:v>Wood</c:v>
                </c:pt>
              </c:strCache>
            </c:strRef>
          </c:cat>
          <c:val>
            <c:numRef>
              <c:f>'Commercial Buildings'!$E$7:$E$11</c:f>
              <c:numCache>
                <c:formatCode>_(* #,##0_);_(* \(#,##0\);_(* "-"_);_(@_)</c:formatCode>
                <c:ptCount val="5"/>
                <c:pt idx="0">
                  <c:v>106160.31030962728</c:v>
                </c:pt>
                <c:pt idx="1">
                  <c:v>73.649836244760337</c:v>
                </c:pt>
                <c:pt idx="2">
                  <c:v>1480017.9006985005</c:v>
                </c:pt>
                <c:pt idx="3">
                  <c:v>103001.41373398028</c:v>
                </c:pt>
                <c:pt idx="4">
                  <c:v>9950.8871438262886</c:v>
                </c:pt>
              </c:numCache>
            </c:numRef>
          </c:val>
          <c:extLst>
            <c:ext xmlns:c16="http://schemas.microsoft.com/office/drawing/2014/chart" uri="{C3380CC4-5D6E-409C-BE32-E72D297353CC}">
              <c16:uniqueId val="{00000000-B518-4E9B-A86D-5EA4D2CD8DD8}"/>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CO2e</a:t>
            </a:r>
            <a:r>
              <a:rPr lang="en-US" baseline="0"/>
              <a:t> Emissions by Category</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0D2345"/>
              </a:solidFill>
              <a:ln w="19050">
                <a:solidFill>
                  <a:schemeClr val="lt1"/>
                </a:solidFill>
              </a:ln>
              <a:effectLst/>
            </c:spPr>
            <c:extLst>
              <c:ext xmlns:c16="http://schemas.microsoft.com/office/drawing/2014/chart" uri="{C3380CC4-5D6E-409C-BE32-E72D297353CC}">
                <c16:uniqueId val="{00000005-4688-4055-ABCB-50041DD34713}"/>
              </c:ext>
            </c:extLst>
          </c:dPt>
          <c:dPt>
            <c:idx val="1"/>
            <c:bubble3D val="0"/>
            <c:spPr>
              <a:solidFill>
                <a:srgbClr val="FFA168"/>
              </a:solidFill>
              <a:ln w="19050">
                <a:solidFill>
                  <a:schemeClr val="lt1"/>
                </a:solidFill>
              </a:ln>
              <a:effectLst/>
            </c:spPr>
            <c:extLst>
              <c:ext xmlns:c16="http://schemas.microsoft.com/office/drawing/2014/chart" uri="{C3380CC4-5D6E-409C-BE32-E72D297353CC}">
                <c16:uniqueId val="{00000003-4688-4055-ABCB-50041DD34713}"/>
              </c:ext>
            </c:extLst>
          </c:dPt>
          <c:dPt>
            <c:idx val="2"/>
            <c:bubble3D val="0"/>
            <c:spPr>
              <a:solidFill>
                <a:srgbClr val="026773"/>
              </a:solidFill>
              <a:ln w="19050">
                <a:solidFill>
                  <a:schemeClr val="lt1"/>
                </a:solidFill>
              </a:ln>
              <a:effectLst/>
            </c:spPr>
            <c:extLst>
              <c:ext xmlns:c16="http://schemas.microsoft.com/office/drawing/2014/chart" uri="{C3380CC4-5D6E-409C-BE32-E72D297353CC}">
                <c16:uniqueId val="{00000004-4688-4055-ABCB-50041DD34713}"/>
              </c:ext>
            </c:extLst>
          </c:dPt>
          <c:dPt>
            <c:idx val="3"/>
            <c:bubble3D val="0"/>
            <c:spPr>
              <a:solidFill>
                <a:srgbClr val="718C55"/>
              </a:solidFill>
              <a:ln w="19050">
                <a:solidFill>
                  <a:schemeClr val="lt1"/>
                </a:solidFill>
              </a:ln>
              <a:effectLst/>
            </c:spPr>
            <c:extLst>
              <c:ext xmlns:c16="http://schemas.microsoft.com/office/drawing/2014/chart" uri="{C3380CC4-5D6E-409C-BE32-E72D297353CC}">
                <c16:uniqueId val="{00000002-4688-4055-ABCB-50041DD34713}"/>
              </c:ext>
            </c:extLst>
          </c:dPt>
          <c:dLbls>
            <c:dLbl>
              <c:idx val="1"/>
              <c:layout>
                <c:manualLayout>
                  <c:x val="0.1823450991039913"/>
                  <c:y val="5.479251744235787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688-4055-ABCB-50041DD34713}"/>
                </c:ext>
              </c:extLst>
            </c:dLbl>
            <c:dLbl>
              <c:idx val="3"/>
              <c:layout>
                <c:manualLayout>
                  <c:x val="0.12583223972003499"/>
                  <c:y val="0.2140314231554389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688-4055-ABCB-50041DD3471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Waste!$A$24:$A$27</c:f>
              <c:strCache>
                <c:ptCount val="4"/>
                <c:pt idx="0">
                  <c:v>Composting</c:v>
                </c:pt>
                <c:pt idx="1">
                  <c:v>Industrial Waste Landfill Emissions</c:v>
                </c:pt>
                <c:pt idx="2">
                  <c:v>MSW Landfill Emissions</c:v>
                </c:pt>
                <c:pt idx="3">
                  <c:v>Wastewater Treatment and Discharge</c:v>
                </c:pt>
              </c:strCache>
            </c:strRef>
          </c:cat>
          <c:val>
            <c:numRef>
              <c:f>Waste!$B$24:$B$27</c:f>
              <c:numCache>
                <c:formatCode>0.00</c:formatCode>
                <c:ptCount val="4"/>
                <c:pt idx="0">
                  <c:v>8.0906617163183647E-3</c:v>
                </c:pt>
                <c:pt idx="1">
                  <c:v>6.643143807143404E-3</c:v>
                </c:pt>
                <c:pt idx="2">
                  <c:v>0.80699367909014386</c:v>
                </c:pt>
                <c:pt idx="3">
                  <c:v>0.22661842398293883</c:v>
                </c:pt>
              </c:numCache>
            </c:numRef>
          </c:val>
          <c:extLst>
            <c:ext xmlns:c16="http://schemas.microsoft.com/office/drawing/2014/chart" uri="{C3380CC4-5D6E-409C-BE32-E72D297353CC}">
              <c16:uniqueId val="{00000000-4688-4055-ABCB-50041DD34713}"/>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CO2e Emissions by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FFA168"/>
              </a:solidFill>
              <a:ln w="19050">
                <a:solidFill>
                  <a:schemeClr val="lt1"/>
                </a:solidFill>
              </a:ln>
              <a:effectLst/>
            </c:spPr>
            <c:extLst>
              <c:ext xmlns:c16="http://schemas.microsoft.com/office/drawing/2014/chart" uri="{C3380CC4-5D6E-409C-BE32-E72D297353CC}">
                <c16:uniqueId val="{00000005-C03F-41F6-95AF-BC8025D0B825}"/>
              </c:ext>
            </c:extLst>
          </c:dPt>
          <c:dPt>
            <c:idx val="1"/>
            <c:bubble3D val="0"/>
            <c:spPr>
              <a:solidFill>
                <a:srgbClr val="718C55"/>
              </a:solidFill>
              <a:ln w="19050">
                <a:solidFill>
                  <a:schemeClr val="lt1"/>
                </a:solidFill>
              </a:ln>
              <a:effectLst/>
            </c:spPr>
            <c:extLst>
              <c:ext xmlns:c16="http://schemas.microsoft.com/office/drawing/2014/chart" uri="{C3380CC4-5D6E-409C-BE32-E72D297353CC}">
                <c16:uniqueId val="{00000001-C03F-41F6-95AF-BC8025D0B825}"/>
              </c:ext>
            </c:extLst>
          </c:dPt>
          <c:dPt>
            <c:idx val="2"/>
            <c:bubble3D val="0"/>
            <c:spPr>
              <a:solidFill>
                <a:srgbClr val="008541"/>
              </a:solidFill>
              <a:ln w="19050">
                <a:solidFill>
                  <a:schemeClr val="lt1"/>
                </a:solidFill>
              </a:ln>
              <a:effectLst/>
            </c:spPr>
            <c:extLst>
              <c:ext xmlns:c16="http://schemas.microsoft.com/office/drawing/2014/chart" uri="{C3380CC4-5D6E-409C-BE32-E72D297353CC}">
                <c16:uniqueId val="{00000002-C03F-41F6-95AF-BC8025D0B825}"/>
              </c:ext>
            </c:extLst>
          </c:dPt>
          <c:dPt>
            <c:idx val="3"/>
            <c:bubble3D val="0"/>
            <c:spPr>
              <a:solidFill>
                <a:srgbClr val="0D2345"/>
              </a:solidFill>
              <a:ln w="19050">
                <a:solidFill>
                  <a:schemeClr val="lt1"/>
                </a:solidFill>
              </a:ln>
              <a:effectLst/>
            </c:spPr>
            <c:extLst>
              <c:ext xmlns:c16="http://schemas.microsoft.com/office/drawing/2014/chart" uri="{C3380CC4-5D6E-409C-BE32-E72D297353CC}">
                <c16:uniqueId val="{00000004-C03F-41F6-95AF-BC8025D0B825}"/>
              </c:ext>
            </c:extLst>
          </c:dPt>
          <c:dPt>
            <c:idx val="4"/>
            <c:bubble3D val="0"/>
            <c:spPr>
              <a:solidFill>
                <a:srgbClr val="B5CAE7"/>
              </a:solidFill>
              <a:ln w="19050">
                <a:solidFill>
                  <a:schemeClr val="lt1"/>
                </a:solidFill>
              </a:ln>
              <a:effectLst/>
            </c:spPr>
            <c:extLst>
              <c:ext xmlns:c16="http://schemas.microsoft.com/office/drawing/2014/chart" uri="{C3380CC4-5D6E-409C-BE32-E72D297353CC}">
                <c16:uniqueId val="{00000003-C03F-41F6-95AF-BC8025D0B825}"/>
              </c:ext>
            </c:extLst>
          </c:dPt>
          <c:dLbls>
            <c:dLbl>
              <c:idx val="1"/>
              <c:layout>
                <c:manualLayout>
                  <c:x val="-9.3847183779587381E-2"/>
                  <c:y val="-0.2029526670659139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03F-41F6-95AF-BC8025D0B8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NWL!$AM$7:$AM$11</c:f>
              <c:strCache>
                <c:ptCount val="5"/>
                <c:pt idx="0">
                  <c:v>Cropland</c:v>
                </c:pt>
                <c:pt idx="1">
                  <c:v>Grassland</c:v>
                </c:pt>
                <c:pt idx="2">
                  <c:v>Forest Land</c:v>
                </c:pt>
                <c:pt idx="3">
                  <c:v>Settlements</c:v>
                </c:pt>
                <c:pt idx="4">
                  <c:v>Wetlands</c:v>
                </c:pt>
              </c:strCache>
            </c:strRef>
          </c:cat>
          <c:val>
            <c:numRef>
              <c:f>NWL!$AN$7:$AN$11</c:f>
              <c:numCache>
                <c:formatCode>_(* #,##0.00_);_(* \(#,##0.00\);_(* "-"??_);_(@_)</c:formatCode>
                <c:ptCount val="5"/>
                <c:pt idx="0">
                  <c:v>7.1443725727418764E-2</c:v>
                </c:pt>
                <c:pt idx="1">
                  <c:v>5.1060486033620265</c:v>
                </c:pt>
                <c:pt idx="2">
                  <c:v>0.96993620130746272</c:v>
                </c:pt>
                <c:pt idx="3">
                  <c:v>3.0654809400211813E-2</c:v>
                </c:pt>
                <c:pt idx="4">
                  <c:v>0.26454328001316219</c:v>
                </c:pt>
              </c:numCache>
            </c:numRef>
          </c:val>
          <c:extLst>
            <c:ext xmlns:c16="http://schemas.microsoft.com/office/drawing/2014/chart" uri="{C3380CC4-5D6E-409C-BE32-E72D297353CC}">
              <c16:uniqueId val="{00000000-C03F-41F6-95AF-BC8025D0B825}"/>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3.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1.xml"/></Relationships>
</file>

<file path=xl/drawings/drawing1.xml><?xml version="1.0" encoding="utf-8"?>
<xdr:wsDr xmlns:xdr="http://schemas.openxmlformats.org/drawingml/2006/spreadsheetDrawing" xmlns:a="http://schemas.openxmlformats.org/drawingml/2006/main">
  <xdr:twoCellAnchor>
    <xdr:from>
      <xdr:col>9</xdr:col>
      <xdr:colOff>209550</xdr:colOff>
      <xdr:row>1</xdr:row>
      <xdr:rowOff>38100</xdr:rowOff>
    </xdr:from>
    <xdr:to>
      <xdr:col>19</xdr:col>
      <xdr:colOff>409576</xdr:colOff>
      <xdr:row>21</xdr:row>
      <xdr:rowOff>152400</xdr:rowOff>
    </xdr:to>
    <xdr:graphicFrame macro="">
      <xdr:nvGraphicFramePr>
        <xdr:cNvPr id="2" name="Chart 1">
          <a:extLst>
            <a:ext uri="{FF2B5EF4-FFF2-40B4-BE49-F238E27FC236}">
              <a16:creationId xmlns:a16="http://schemas.microsoft.com/office/drawing/2014/main" id="{63C79849-8665-47A6-BFC0-7C6E3605BC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26</xdr:row>
      <xdr:rowOff>0</xdr:rowOff>
    </xdr:from>
    <xdr:to>
      <xdr:col>23</xdr:col>
      <xdr:colOff>381001</xdr:colOff>
      <xdr:row>47</xdr:row>
      <xdr:rowOff>72390</xdr:rowOff>
    </xdr:to>
    <xdr:graphicFrame macro="">
      <xdr:nvGraphicFramePr>
        <xdr:cNvPr id="8" name="Chart 7">
          <a:extLst>
            <a:ext uri="{FF2B5EF4-FFF2-40B4-BE49-F238E27FC236}">
              <a16:creationId xmlns:a16="http://schemas.microsoft.com/office/drawing/2014/main" id="{0DF3329E-C7E1-4346-9B38-FE78108F16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50</xdr:row>
      <xdr:rowOff>0</xdr:rowOff>
    </xdr:from>
    <xdr:to>
      <xdr:col>21</xdr:col>
      <xdr:colOff>371476</xdr:colOff>
      <xdr:row>82</xdr:row>
      <xdr:rowOff>47625</xdr:rowOff>
    </xdr:to>
    <xdr:graphicFrame macro="">
      <xdr:nvGraphicFramePr>
        <xdr:cNvPr id="9" name="Chart 8">
          <a:extLst>
            <a:ext uri="{FF2B5EF4-FFF2-40B4-BE49-F238E27FC236}">
              <a16:creationId xmlns:a16="http://schemas.microsoft.com/office/drawing/2014/main" id="{FACF4DF0-E4F4-460D-B51D-1BB7E819AC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85725</xdr:colOff>
      <xdr:row>55</xdr:row>
      <xdr:rowOff>109536</xdr:rowOff>
    </xdr:from>
    <xdr:to>
      <xdr:col>8</xdr:col>
      <xdr:colOff>314325</xdr:colOff>
      <xdr:row>76</xdr:row>
      <xdr:rowOff>171449</xdr:rowOff>
    </xdr:to>
    <xdr:graphicFrame macro="">
      <xdr:nvGraphicFramePr>
        <xdr:cNvPr id="3" name="Chart 2">
          <a:extLst>
            <a:ext uri="{FF2B5EF4-FFF2-40B4-BE49-F238E27FC236}">
              <a16:creationId xmlns:a16="http://schemas.microsoft.com/office/drawing/2014/main" id="{F7F90104-3479-F2EF-5F81-6B65AFFF9E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24</xdr:col>
      <xdr:colOff>114299</xdr:colOff>
      <xdr:row>25</xdr:row>
      <xdr:rowOff>185737</xdr:rowOff>
    </xdr:from>
    <xdr:to>
      <xdr:col>36</xdr:col>
      <xdr:colOff>485774</xdr:colOff>
      <xdr:row>47</xdr:row>
      <xdr:rowOff>85725</xdr:rowOff>
    </xdr:to>
    <xdr:graphicFrame macro="">
      <xdr:nvGraphicFramePr>
        <xdr:cNvPr id="4" name="Chart 3">
          <a:extLst>
            <a:ext uri="{FF2B5EF4-FFF2-40B4-BE49-F238E27FC236}">
              <a16:creationId xmlns:a16="http://schemas.microsoft.com/office/drawing/2014/main" id="{4DBEA663-BD33-1CDC-10F0-DFA80F4CFD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352425</xdr:colOff>
      <xdr:row>1</xdr:row>
      <xdr:rowOff>28574</xdr:rowOff>
    </xdr:from>
    <xdr:to>
      <xdr:col>20</xdr:col>
      <xdr:colOff>223837</xdr:colOff>
      <xdr:row>23</xdr:row>
      <xdr:rowOff>38099</xdr:rowOff>
    </xdr:to>
    <xdr:graphicFrame macro="">
      <xdr:nvGraphicFramePr>
        <xdr:cNvPr id="4" name="Chart 3">
          <a:extLst>
            <a:ext uri="{FF2B5EF4-FFF2-40B4-BE49-F238E27FC236}">
              <a16:creationId xmlns:a16="http://schemas.microsoft.com/office/drawing/2014/main" id="{52594EB1-5EE0-3E0B-AAA6-87293A20EA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214312</xdr:colOff>
      <xdr:row>23</xdr:row>
      <xdr:rowOff>4762</xdr:rowOff>
    </xdr:from>
    <xdr:to>
      <xdr:col>7</xdr:col>
      <xdr:colOff>1138237</xdr:colOff>
      <xdr:row>37</xdr:row>
      <xdr:rowOff>80962</xdr:rowOff>
    </xdr:to>
    <xdr:graphicFrame macro="">
      <xdr:nvGraphicFramePr>
        <xdr:cNvPr id="5" name="Chart 4">
          <a:extLst>
            <a:ext uri="{FF2B5EF4-FFF2-40B4-BE49-F238E27FC236}">
              <a16:creationId xmlns:a16="http://schemas.microsoft.com/office/drawing/2014/main" id="{E84CE3F2-35C4-4172-CE04-C7B94A6FAA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461962</xdr:colOff>
      <xdr:row>9</xdr:row>
      <xdr:rowOff>4762</xdr:rowOff>
    </xdr:from>
    <xdr:to>
      <xdr:col>19</xdr:col>
      <xdr:colOff>157162</xdr:colOff>
      <xdr:row>22</xdr:row>
      <xdr:rowOff>119062</xdr:rowOff>
    </xdr:to>
    <xdr:graphicFrame macro="">
      <xdr:nvGraphicFramePr>
        <xdr:cNvPr id="4" name="Chart 3">
          <a:extLst>
            <a:ext uri="{FF2B5EF4-FFF2-40B4-BE49-F238E27FC236}">
              <a16:creationId xmlns:a16="http://schemas.microsoft.com/office/drawing/2014/main" id="{F94EFF7D-6B70-8E1C-D49A-2C0D5C7F7F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638174</xdr:colOff>
      <xdr:row>24</xdr:row>
      <xdr:rowOff>128586</xdr:rowOff>
    </xdr:from>
    <xdr:to>
      <xdr:col>17</xdr:col>
      <xdr:colOff>85724</xdr:colOff>
      <xdr:row>42</xdr:row>
      <xdr:rowOff>133349</xdr:rowOff>
    </xdr:to>
    <xdr:graphicFrame macro="">
      <xdr:nvGraphicFramePr>
        <xdr:cNvPr id="5" name="Chart 4">
          <a:extLst>
            <a:ext uri="{FF2B5EF4-FFF2-40B4-BE49-F238E27FC236}">
              <a16:creationId xmlns:a16="http://schemas.microsoft.com/office/drawing/2014/main" id="{69075E80-09A9-62C8-143A-436D2D5819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14</xdr:col>
      <xdr:colOff>47624</xdr:colOff>
      <xdr:row>10</xdr:row>
      <xdr:rowOff>157162</xdr:rowOff>
    </xdr:from>
    <xdr:to>
      <xdr:col>23</xdr:col>
      <xdr:colOff>190499</xdr:colOff>
      <xdr:row>29</xdr:row>
      <xdr:rowOff>123825</xdr:rowOff>
    </xdr:to>
    <xdr:graphicFrame macro="">
      <xdr:nvGraphicFramePr>
        <xdr:cNvPr id="2" name="Chart 1">
          <a:extLst>
            <a:ext uri="{FF2B5EF4-FFF2-40B4-BE49-F238E27FC236}">
              <a16:creationId xmlns:a16="http://schemas.microsoft.com/office/drawing/2014/main" id="{D6237F6E-D898-B291-B744-F126B2F553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8</xdr:col>
      <xdr:colOff>390525</xdr:colOff>
      <xdr:row>18</xdr:row>
      <xdr:rowOff>9525</xdr:rowOff>
    </xdr:from>
    <xdr:to>
      <xdr:col>14</xdr:col>
      <xdr:colOff>190500</xdr:colOff>
      <xdr:row>35</xdr:row>
      <xdr:rowOff>280987</xdr:rowOff>
    </xdr:to>
    <xdr:graphicFrame macro="">
      <xdr:nvGraphicFramePr>
        <xdr:cNvPr id="5" name="Chart 4">
          <a:extLst>
            <a:ext uri="{FF2B5EF4-FFF2-40B4-BE49-F238E27FC236}">
              <a16:creationId xmlns:a16="http://schemas.microsoft.com/office/drawing/2014/main" id="{D9AF4031-A9DF-636F-41A4-119056BC55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990600</xdr:colOff>
      <xdr:row>5</xdr:row>
      <xdr:rowOff>23812</xdr:rowOff>
    </xdr:from>
    <xdr:to>
      <xdr:col>18</xdr:col>
      <xdr:colOff>533400</xdr:colOff>
      <xdr:row>17</xdr:row>
      <xdr:rowOff>42862</xdr:rowOff>
    </xdr:to>
    <xdr:graphicFrame macro="">
      <xdr:nvGraphicFramePr>
        <xdr:cNvPr id="2" name="Chart 1">
          <a:extLst>
            <a:ext uri="{FF2B5EF4-FFF2-40B4-BE49-F238E27FC236}">
              <a16:creationId xmlns:a16="http://schemas.microsoft.com/office/drawing/2014/main" id="{53B35888-FF83-DEA9-F0BC-8914A307DC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361950</xdr:colOff>
      <xdr:row>17</xdr:row>
      <xdr:rowOff>176211</xdr:rowOff>
    </xdr:from>
    <xdr:to>
      <xdr:col>22</xdr:col>
      <xdr:colOff>590550</xdr:colOff>
      <xdr:row>33</xdr:row>
      <xdr:rowOff>152399</xdr:rowOff>
    </xdr:to>
    <xdr:graphicFrame macro="">
      <xdr:nvGraphicFramePr>
        <xdr:cNvPr id="3" name="Chart 2">
          <a:extLst>
            <a:ext uri="{FF2B5EF4-FFF2-40B4-BE49-F238E27FC236}">
              <a16:creationId xmlns:a16="http://schemas.microsoft.com/office/drawing/2014/main" id="{DDB38A3B-7011-833D-17CA-0D152276C4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17</xdr:col>
      <xdr:colOff>495300</xdr:colOff>
      <xdr:row>9</xdr:row>
      <xdr:rowOff>28575</xdr:rowOff>
    </xdr:from>
    <xdr:to>
      <xdr:col>25</xdr:col>
      <xdr:colOff>267652</xdr:colOff>
      <xdr:row>24</xdr:row>
      <xdr:rowOff>55245</xdr:rowOff>
    </xdr:to>
    <xdr:graphicFrame macro="">
      <xdr:nvGraphicFramePr>
        <xdr:cNvPr id="2" name="Chart 1">
          <a:extLst>
            <a:ext uri="{FF2B5EF4-FFF2-40B4-BE49-F238E27FC236}">
              <a16:creationId xmlns:a16="http://schemas.microsoft.com/office/drawing/2014/main" id="{3BB1CE60-013F-419A-91AB-9DEB39BF4F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19</xdr:col>
      <xdr:colOff>542924</xdr:colOff>
      <xdr:row>4</xdr:row>
      <xdr:rowOff>157161</xdr:rowOff>
    </xdr:from>
    <xdr:to>
      <xdr:col>28</xdr:col>
      <xdr:colOff>419099</xdr:colOff>
      <xdr:row>24</xdr:row>
      <xdr:rowOff>152399</xdr:rowOff>
    </xdr:to>
    <xdr:graphicFrame macro="">
      <xdr:nvGraphicFramePr>
        <xdr:cNvPr id="3" name="Chart 2">
          <a:extLst>
            <a:ext uri="{FF2B5EF4-FFF2-40B4-BE49-F238E27FC236}">
              <a16:creationId xmlns:a16="http://schemas.microsoft.com/office/drawing/2014/main" id="{3D409E73-DF7F-57BE-2459-15FBB3803D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876300</xdr:colOff>
      <xdr:row>20</xdr:row>
      <xdr:rowOff>42861</xdr:rowOff>
    </xdr:from>
    <xdr:to>
      <xdr:col>19</xdr:col>
      <xdr:colOff>533400</xdr:colOff>
      <xdr:row>39</xdr:row>
      <xdr:rowOff>76199</xdr:rowOff>
    </xdr:to>
    <xdr:graphicFrame macro="">
      <xdr:nvGraphicFramePr>
        <xdr:cNvPr id="4" name="Chart 3">
          <a:extLst>
            <a:ext uri="{FF2B5EF4-FFF2-40B4-BE49-F238E27FC236}">
              <a16:creationId xmlns:a16="http://schemas.microsoft.com/office/drawing/2014/main" id="{E47804F3-EEAC-4621-AF83-7929FA4C5B4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37</xdr:col>
      <xdr:colOff>419100</xdr:colOff>
      <xdr:row>13</xdr:row>
      <xdr:rowOff>42861</xdr:rowOff>
    </xdr:from>
    <xdr:to>
      <xdr:col>42</xdr:col>
      <xdr:colOff>762000</xdr:colOff>
      <xdr:row>30</xdr:row>
      <xdr:rowOff>28574</xdr:rowOff>
    </xdr:to>
    <xdr:graphicFrame macro="">
      <xdr:nvGraphicFramePr>
        <xdr:cNvPr id="2" name="Chart 1">
          <a:extLst>
            <a:ext uri="{FF2B5EF4-FFF2-40B4-BE49-F238E27FC236}">
              <a16:creationId xmlns:a16="http://schemas.microsoft.com/office/drawing/2014/main" id="{39DCB961-7CC8-CDAA-013C-078A9AC1D9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304800</xdr:colOff>
      <xdr:row>1</xdr:row>
      <xdr:rowOff>176212</xdr:rowOff>
    </xdr:from>
    <xdr:to>
      <xdr:col>11</xdr:col>
      <xdr:colOff>876300</xdr:colOff>
      <xdr:row>16</xdr:row>
      <xdr:rowOff>114300</xdr:rowOff>
    </xdr:to>
    <xdr:graphicFrame macro="">
      <xdr:nvGraphicFramePr>
        <xdr:cNvPr id="2" name="Chart 1">
          <a:extLst>
            <a:ext uri="{FF2B5EF4-FFF2-40B4-BE49-F238E27FC236}">
              <a16:creationId xmlns:a16="http://schemas.microsoft.com/office/drawing/2014/main" id="{A1880A9B-1571-78C5-1CDC-03093E1637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157162</xdr:colOff>
      <xdr:row>2</xdr:row>
      <xdr:rowOff>185737</xdr:rowOff>
    </xdr:from>
    <xdr:to>
      <xdr:col>11</xdr:col>
      <xdr:colOff>742950</xdr:colOff>
      <xdr:row>16</xdr:row>
      <xdr:rowOff>47625</xdr:rowOff>
    </xdr:to>
    <xdr:graphicFrame macro="">
      <xdr:nvGraphicFramePr>
        <xdr:cNvPr id="2" name="Chart 1">
          <a:extLst>
            <a:ext uri="{FF2B5EF4-FFF2-40B4-BE49-F238E27FC236}">
              <a16:creationId xmlns:a16="http://schemas.microsoft.com/office/drawing/2014/main" id="{95229E38-21CD-7131-ECFF-1D51E2795A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1495425</xdr:colOff>
      <xdr:row>16</xdr:row>
      <xdr:rowOff>128587</xdr:rowOff>
    </xdr:from>
    <xdr:to>
      <xdr:col>10</xdr:col>
      <xdr:colOff>409575</xdr:colOff>
      <xdr:row>35</xdr:row>
      <xdr:rowOff>85725</xdr:rowOff>
    </xdr:to>
    <xdr:graphicFrame macro="">
      <xdr:nvGraphicFramePr>
        <xdr:cNvPr id="3" name="Chart 2">
          <a:extLst>
            <a:ext uri="{FF2B5EF4-FFF2-40B4-BE49-F238E27FC236}">
              <a16:creationId xmlns:a16="http://schemas.microsoft.com/office/drawing/2014/main" id="{0D9F4E2F-F191-BEC0-1EAF-3957211782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37</xdr:col>
      <xdr:colOff>809624</xdr:colOff>
      <xdr:row>13</xdr:row>
      <xdr:rowOff>90487</xdr:rowOff>
    </xdr:from>
    <xdr:to>
      <xdr:col>42</xdr:col>
      <xdr:colOff>800100</xdr:colOff>
      <xdr:row>46</xdr:row>
      <xdr:rowOff>57150</xdr:rowOff>
    </xdr:to>
    <xdr:graphicFrame macro="">
      <xdr:nvGraphicFramePr>
        <xdr:cNvPr id="2" name="Chart 1">
          <a:extLst>
            <a:ext uri="{FF2B5EF4-FFF2-40B4-BE49-F238E27FC236}">
              <a16:creationId xmlns:a16="http://schemas.microsoft.com/office/drawing/2014/main" id="{6F7CAFA5-D28F-251A-EBC2-A6C3323271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HGI%20summary%20tables%20and%20graphs.xlsx" TargetMode="External"/><Relationship Id="rId2" Type="http://schemas.openxmlformats.org/officeDocument/2006/relationships/externalLinkPath" Target="https://nmgov.sharepoint.com/sites/ENV-GRNHSE/Shared%20Documents/GHGEI/2023/Calculations/GHGI%20summary%20tables%20and%20graphs.xlsx" TargetMode="External"/><Relationship Id="rId1" Type="http://schemas.openxmlformats.org/officeDocument/2006/relationships/externalLinkPath" Target="/sites/ENV-GRNHSE/Shared%20Documents/GHGEI/2023/Calculations/GHGI%20summary%20tables%20and%20graph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ble ES-1"/>
      <sheetName val="Table 1"/>
      <sheetName val="Table 2"/>
      <sheetName val="Figure 1"/>
      <sheetName val="Figure 2"/>
      <sheetName val="Figure 3"/>
    </sheetNames>
    <sheetDataSet>
      <sheetData sheetId="0"/>
      <sheetData sheetId="1">
        <row r="2">
          <cell r="B2" t="str">
            <v>CO2</v>
          </cell>
          <cell r="C2" t="str">
            <v>CH4</v>
          </cell>
          <cell r="D2" t="str">
            <v>N2O</v>
          </cell>
          <cell r="E2" t="str">
            <v>HFCs</v>
          </cell>
          <cell r="F2" t="str">
            <v>PFCs</v>
          </cell>
          <cell r="G2" t="str">
            <v>SF6</v>
          </cell>
          <cell r="H2" t="str">
            <v>NF3</v>
          </cell>
        </row>
      </sheetData>
      <sheetData sheetId="2">
        <row r="1">
          <cell r="B1">
            <v>2005</v>
          </cell>
          <cell r="D1">
            <v>2021</v>
          </cell>
          <cell r="E1">
            <v>2023</v>
          </cell>
        </row>
      </sheetData>
      <sheetData sheetId="3"/>
      <sheetData sheetId="4"/>
      <sheetData sheetId="5"/>
    </sheetDataSet>
  </externalBook>
</externalLink>
</file>

<file path=xl/persons/person.xml><?xml version="1.0" encoding="utf-8"?>
<personList xmlns="http://schemas.microsoft.com/office/spreadsheetml/2018/threadedcomments" xmlns:x="http://schemas.openxmlformats.org/spreadsheetml/2006/main">
  <person displayName="Eric Bell" id="{1758E9DB-AEEE-44B2-B841-0183835B9D45}" userId="S::Eric.Bell@erg.com::d0f8ed2d-d9f4-4aa2-86ab-04b67e7c92d2" providerId="AD"/>
  <person displayName="Valentine, Samantha, ENV" id="{F3669A67-421E-4C7F-8C9A-D971204EA1C5}" userId="S::samantha.valentine@env.nm.gov::7dc1849d-d5a4-43d5-a6a3-39393709a35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Y1" dT="2026-09-09T20:23:15.12" personId="{F3669A67-421E-4C7F-8C9A-D971204EA1C5}" id="{5B38D379-03A1-41E9-8C23-BA8F4FB2694C}">
    <text>MOVES output based on EIA SEDS fuel consumption data</text>
  </threadedComment>
  <threadedComment ref="AJ1" dT="2026-09-09T20:23:37.73" personId="{F3669A67-421E-4C7F-8C9A-D971204EA1C5}" id="{A7977675-DCD8-4B61-AC72-25F9DB191668}">
    <text>MOVES output based on EIA SEDS fuel consumption data</text>
  </threadedComment>
</ThreadedComments>
</file>

<file path=xl/threadedComments/threadedComment2.xml><?xml version="1.0" encoding="utf-8"?>
<ThreadedComments xmlns="http://schemas.microsoft.com/office/spreadsheetml/2018/threadedcomments" xmlns:x="http://schemas.openxmlformats.org/spreadsheetml/2006/main">
  <threadedComment ref="A14" dT="2026-08-21T17:48:02.30" personId="{F3669A67-421E-4C7F-8C9A-D971204EA1C5}" id="{C8D8C0BD-018D-4046-AEFD-9B7467C730A2}">
    <text>Other petroleum products = Misc petroleum products+Still Gas+Waxes. Excluding to avoid double counting.</text>
  </threadedComment>
</ThreadedComments>
</file>

<file path=xl/threadedComments/threadedComment3.xml><?xml version="1.0" encoding="utf-8"?>
<ThreadedComments xmlns="http://schemas.microsoft.com/office/spreadsheetml/2018/threadedcomments" xmlns:x="http://schemas.openxmlformats.org/spreadsheetml/2006/main">
  <threadedComment ref="A1" dT="2026-07-30T20:41:44.11" personId="{F3669A67-421E-4C7F-8C9A-D971204EA1C5}" id="{F7E7EA1F-0FDD-4903-A67E-4D5A2BB81EF8}">
    <text>State=NM, Pollutant=SO2, SCC Level 4=Line Haul Locomotives:*, Yard Locomotives. From 2022v1 Emissions Modeling Platform | US EPA 2022v1 Emissions Data Retrieval Tool</text>
    <extLst>
      <x:ext xmlns:xltc2="http://schemas.microsoft.com/office/spreadsheetml/2020/threadedcomments2" uri="{F7C98A9C-CBB3-438F-8F68-D28B6AF4A901}">
        <xltc2:checksum>1017114076</xltc2:checksum>
        <xltc2:hyperlink startIndex="85" length="43" url="https://www.epa.gov/air-emissions-modeling/2022v1-emissions-modeling-platform"/>
      </x:ext>
    </extLst>
  </threadedComment>
  <threadedComment ref="U1" dT="2026-09-23T15:21:30.66" personId="{F3669A67-421E-4C7F-8C9A-D971204EA1C5}" id="{DF1230BD-2C72-486D-AF3B-755229DBEF16}">
    <text>EIA CO2 emissions factor for diesel (U.S. Energy Information Administration - EIA - Independent Statistics and Analysis )</text>
    <extLst>
      <x:ext xmlns:xltc2="http://schemas.microsoft.com/office/spreadsheetml/2020/threadedcomments2" uri="{F7C98A9C-CBB3-438F-8F68-D28B6AF4A901}">
        <xltc2:checksum>2805838804</xltc2:checksum>
        <xltc2:hyperlink startIndex="37" length="82" url="https://www.eia.gov/environment/emissions/co2_vol_mass.php"/>
      </x:ext>
    </extLst>
  </threadedComment>
  <threadedComment ref="S2" dT="2026-08-03T15:41:15.76" personId="{F3669A67-421E-4C7F-8C9A-D971204EA1C5}" id="{204376BE-80E0-4AB2-851A-EA84A4356EA0}">
    <text>From EMP 2022v1 (Index of /Air/emismod/2022/v1/reports/mobile/rail )</text>
    <extLst>
      <x:ext xmlns:xltc2="http://schemas.microsoft.com/office/spreadsheetml/2020/threadedcomments2" uri="{F7C98A9C-CBB3-438F-8F68-D28B6AF4A901}">
        <xltc2:checksum>3582507246</xltc2:checksum>
        <xltc2:hyperlink startIndex="17" length="49" url="https://gaftp.epa.gov/Air/emismod/2022/v1/reports/mobile/rail/"/>
      </x:ext>
    </extLst>
  </threadedComment>
</ThreadedComments>
</file>

<file path=xl/threadedComments/threadedComment4.xml><?xml version="1.0" encoding="utf-8"?>
<ThreadedComments xmlns="http://schemas.microsoft.com/office/spreadsheetml/2018/threadedcomments" xmlns:x="http://schemas.openxmlformats.org/spreadsheetml/2006/main">
  <threadedComment ref="B7" dT="2025-09-23T15:03:00.74" personId="{1758E9DB-AEEE-44B2-B841-0183835B9D45}" id="{577D1F0F-E779-42FC-8092-9792195F726F}">
    <text>The biomass plant in question is actually 35% gas / 65% biomass, so it emits both fossil carbon and biomass carbon.</text>
  </threadedComment>
  <threadedComment ref="H8" dT="2025-07-21T19:50:32.96" personId="{1758E9DB-AEEE-44B2-B841-0183835B9D45}" id="{211C3995-504E-4178-86D3-23408FB53021}">
    <text>The Four Corners power plant was excluded from the GHG inventory because it is a tribal source on the Navajo Nation; as such, it does not fall under state authority.</text>
  </threadedComment>
  <threadedComment ref="A13" dT="2025-07-21T19:38:50.27" personId="{1758E9DB-AEEE-44B2-B841-0183835B9D45}" id="{018F5EC4-20E7-434A-8894-F27928FE7CFF}">
    <text>“Other Fuel” includes waste heat, hydrogen, purchased, and unknown. Could also be electricity released from storage.</text>
  </threadedComment>
  <threadedComment ref="E26" dT="2025-07-21T19:50:32.96" personId="{1758E9DB-AEEE-44B2-B841-0183835B9D45}" id="{D4DD0704-D00D-495D-9091-0520AD4CD072}">
    <text>The Four Corners power plant was excluded from the GHG inventory because it is a tribal source on the Navajo Nation; as such, it does not fall under state authority.</text>
  </threadedComment>
  <threadedComment ref="A31" dT="2025-07-21T19:38:50.27" personId="{1758E9DB-AEEE-44B2-B841-0183835B9D45}" id="{5C133976-F084-41C3-8609-550FCEF2A6B4}">
    <text>“Other Fuel” includes waste heat, hydrogen, purchased, and unknown. Could also be electricity released from storage.</text>
  </threadedComment>
</ThreadedComments>
</file>

<file path=xl/threadedComments/threadedComment5.xml><?xml version="1.0" encoding="utf-8"?>
<ThreadedComments xmlns="http://schemas.microsoft.com/office/spreadsheetml/2018/threadedcomments" xmlns:x="http://schemas.openxmlformats.org/spreadsheetml/2006/main">
  <threadedComment ref="B19" dT="2025-08-20T18:06:52.28" personId="{1758E9DB-AEEE-44B2-B841-0183835B9D45}" id="{9E01159F-1939-4A62-9E42-B81FA3D74C5B}">
    <text>EXCLUDING DENATURANT
“Fuel ethanol contains a small amount of denaturant, which is added to make the finished product unsuitable for human consumption. Fuel ethanol denaturant is typically natural gasoline (pentanes plus) or conventional gasoline. These volumes are already accounted for under petroleum. Therefore, to avoid double-counting, and to separately identify the renewable content of fuel ethanol, EIA estimates the Btu content of fuel ethanol excluding denaturant consumed by the United States.” (p.117)</text>
  </threadedComment>
  <threadedComment ref="E19" dT="2025-08-20T18:06:52.28" personId="{1758E9DB-AEEE-44B2-B841-0183835B9D45}" id="{8ACB6BE9-74D0-48E8-AA04-CBDAFF132F4E}">
    <text>INCLUDING DENATURANT
“The fuel ethanol volume in physical units is denatured fuel ethanol, which includes a small amount of denaturant added to the fuel ethanol to make it unfit for human consumption.” (p.115)</text>
  </threadedComment>
  <threadedComment ref="A54" dT="2025-08-21T20:31:43.01" personId="{1758E9DB-AEEE-44B2-B841-0183835B9D45}" id="{B6A040EE-E5C7-48EE-AEC7-8F516693B9BC}">
    <text>SEDS allocates fuel ethanol to the commercial, industrial, and transportation sectors according to the motor gasoline consumption share for each sector. It therefore seems reasonable to allocate the deductions from the transportation sector in proportion to the motor gasoline emissions,</text>
  </threadedComment>
  <threadedComment ref="G63" dT="2025-08-21T20:13:13.42" personId="{1758E9DB-AEEE-44B2-B841-0183835B9D45}" id="{93944E57-AC59-484D-90E1-0D84D264EE27}">
    <text>Although counterintuitive, SEDS includes commercial uses of motor gasoline in the industrial sector (see notes below).</text>
  </threadedComment>
  <threadedComment ref="E93" dT="2025-08-25T17:03:36.94" personId="{1758E9DB-AEEE-44B2-B841-0183835B9D45}" id="{6001175E-D1E7-42C6-977B-91A5E64E2998}">
    <text>Total annual net generation in NM in 2023 totaled 31.8 million MWh (excluding Four Corners), so commercial plants represent 0.3%.</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s://www.eia.gov/state/seds/sep_use/notes/use_technotes.pdf" TargetMode="External"/><Relationship Id="rId1" Type="http://schemas.openxmlformats.org/officeDocument/2006/relationships/hyperlink" Target="https://www.eia.gov/state/seds/seds-technical-notes-complete.php?sid=US" TargetMode="External"/><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6.xml"/><Relationship Id="rId4" Type="http://schemas.microsoft.com/office/2017/10/relationships/threadedComment" Target="../threadedComments/threadedComment3.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4.bin"/><Relationship Id="rId1" Type="http://schemas.openxmlformats.org/officeDocument/2006/relationships/hyperlink" Target="https://www.epa.gov/egrid/detailed-data" TargetMode="External"/><Relationship Id="rId6" Type="http://schemas.microsoft.com/office/2017/10/relationships/threadedComment" Target="../threadedComments/threadedComment4.xm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6.xml.rels><?xml version="1.0" encoding="UTF-8" standalone="yes"?>
<Relationships xmlns="http://schemas.openxmlformats.org/package/2006/relationships"><Relationship Id="rId3" Type="http://schemas.openxmlformats.org/officeDocument/2006/relationships/hyperlink" Target="https://www.epa.gov/system/files/documents/2025-01/ghg-emission-factors-hub-2025.pdf" TargetMode="External"/><Relationship Id="rId2" Type="http://schemas.openxmlformats.org/officeDocument/2006/relationships/hyperlink" Target="https://www.epa.gov/system/files/documents/2025-01/ghg-emission-factors-hub-2025.pdf" TargetMode="External"/><Relationship Id="rId1" Type="http://schemas.openxmlformats.org/officeDocument/2006/relationships/hyperlink" Target="https://www.eia.gov/state/seds/seds-data-complete.php?sid=NM" TargetMode="External"/><Relationship Id="rId5" Type="http://schemas.openxmlformats.org/officeDocument/2006/relationships/drawing" Target="../drawings/drawing9.xml"/><Relationship Id="rId4" Type="http://schemas.openxmlformats.org/officeDocument/2006/relationships/hyperlink" Target="https://www.epa.gov/system/files/documents/2024-04/us-ghg-inventory-2024-annexes.pdf" TargetMode="External"/></Relationships>
</file>

<file path=xl/worksheets/_rels/sheet1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https://www.epa.gov/system/files/documents/2025-01/ghg-emission-factors-hub-2025.pdf" TargetMode="External"/><Relationship Id="rId7" Type="http://schemas.openxmlformats.org/officeDocument/2006/relationships/vmlDrawing" Target="../drawings/vmlDrawing6.vml"/><Relationship Id="rId2" Type="http://schemas.openxmlformats.org/officeDocument/2006/relationships/hyperlink" Target="https://www.eia.gov/state/seds/seds-data-complete.php?sid=NM" TargetMode="External"/><Relationship Id="rId1" Type="http://schemas.openxmlformats.org/officeDocument/2006/relationships/hyperlink" Target="https://www.epa.gov/egrid/detailed-data" TargetMode="External"/><Relationship Id="rId6" Type="http://schemas.openxmlformats.org/officeDocument/2006/relationships/drawing" Target="../drawings/drawing10.xml"/><Relationship Id="rId5" Type="http://schemas.openxmlformats.org/officeDocument/2006/relationships/hyperlink" Target="https://www.epa.gov/system/files/documents/2024-04/us-ghg-inventory-2024-annexes.pdf" TargetMode="External"/><Relationship Id="rId4" Type="http://schemas.openxmlformats.org/officeDocument/2006/relationships/hyperlink" Target="https://www.epa.gov/system/files/documents/2025-01/ghg-emission-factors-hub-2025.pdf" TargetMode="External"/><Relationship Id="rId9" Type="http://schemas.microsoft.com/office/2017/10/relationships/threadedComment" Target="../threadedComments/threadedComment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66161-B7E4-4F75-8FBE-DE865D9E8FBA}">
  <dimension ref="A1:I53"/>
  <sheetViews>
    <sheetView topLeftCell="A46" workbookViewId="0">
      <selection activeCell="E8" sqref="E8"/>
    </sheetView>
  </sheetViews>
  <sheetFormatPr defaultRowHeight="15" x14ac:dyDescent="0.25"/>
  <cols>
    <col min="1" max="1" width="49" bestFit="1" customWidth="1"/>
    <col min="2" max="9" width="14.7109375" customWidth="1"/>
  </cols>
  <sheetData>
    <row r="1" spans="1:3" x14ac:dyDescent="0.25">
      <c r="A1" s="1" t="s">
        <v>1358</v>
      </c>
    </row>
    <row r="2" spans="1:3" s="3" customFormat="1" ht="48" x14ac:dyDescent="0.25">
      <c r="A2" s="385" t="s">
        <v>1156</v>
      </c>
      <c r="B2" s="385" t="s">
        <v>1359</v>
      </c>
    </row>
    <row r="3" spans="1:3" x14ac:dyDescent="0.25">
      <c r="A3" s="342" t="s">
        <v>1360</v>
      </c>
      <c r="B3" s="386">
        <f>SUM(B4:B7)</f>
        <v>37.516534812774047</v>
      </c>
      <c r="C3" s="5">
        <f>B3/B$15</f>
        <v>0.49027624028556349</v>
      </c>
    </row>
    <row r="4" spans="1:3" x14ac:dyDescent="0.25">
      <c r="A4" s="387" t="s">
        <v>1361</v>
      </c>
      <c r="B4" s="388">
        <f>I23</f>
        <v>34.317708792404467</v>
      </c>
      <c r="C4" s="5"/>
    </row>
    <row r="5" spans="1:3" x14ac:dyDescent="0.25">
      <c r="A5" s="387" t="s">
        <v>1362</v>
      </c>
      <c r="B5" s="388">
        <f t="shared" ref="B5:B7" si="0">I24</f>
        <v>1.5933743241633531</v>
      </c>
    </row>
    <row r="6" spans="1:3" x14ac:dyDescent="0.25">
      <c r="A6" s="387" t="s">
        <v>1363</v>
      </c>
      <c r="B6" s="388">
        <f t="shared" si="0"/>
        <v>1.5248924342776722</v>
      </c>
    </row>
    <row r="7" spans="1:3" x14ac:dyDescent="0.25">
      <c r="A7" s="387" t="s">
        <v>1364</v>
      </c>
      <c r="B7" s="388">
        <f t="shared" si="0"/>
        <v>8.0559261928548995E-2</v>
      </c>
    </row>
    <row r="8" spans="1:3" x14ac:dyDescent="0.25">
      <c r="A8" s="342" t="s">
        <v>506</v>
      </c>
      <c r="B8" s="386">
        <f>I27</f>
        <v>17.235484638808369</v>
      </c>
      <c r="C8" s="5">
        <f>B8/B$15</f>
        <v>0.2252379824092216</v>
      </c>
    </row>
    <row r="9" spans="1:3" x14ac:dyDescent="0.25">
      <c r="A9" s="342" t="s">
        <v>525</v>
      </c>
      <c r="B9" s="386">
        <f t="shared" ref="B9:B13" si="1">I28</f>
        <v>10.071883038896658</v>
      </c>
      <c r="C9" s="5">
        <f>B9/B$15</f>
        <v>0.13162209605842495</v>
      </c>
    </row>
    <row r="10" spans="1:3" x14ac:dyDescent="0.25">
      <c r="A10" s="342" t="s">
        <v>565</v>
      </c>
      <c r="B10" s="386">
        <f t="shared" si="1"/>
        <v>6.5986416828399417</v>
      </c>
      <c r="C10" s="5">
        <f>B10/B$15</f>
        <v>8.6232837105009702E-2</v>
      </c>
    </row>
    <row r="11" spans="1:3" x14ac:dyDescent="0.25">
      <c r="A11" s="342" t="s">
        <v>1365</v>
      </c>
      <c r="B11" s="386">
        <f t="shared" si="1"/>
        <v>4.0503274074785329</v>
      </c>
      <c r="C11" s="5">
        <f>B11/B$15</f>
        <v>5.293077580789813E-2</v>
      </c>
    </row>
    <row r="12" spans="1:3" x14ac:dyDescent="0.25">
      <c r="A12" s="387" t="s">
        <v>1366</v>
      </c>
      <c r="B12" s="388">
        <f t="shared" si="1"/>
        <v>2.3511232457563533</v>
      </c>
    </row>
    <row r="13" spans="1:3" x14ac:dyDescent="0.25">
      <c r="A13" s="387" t="s">
        <v>1367</v>
      </c>
      <c r="B13" s="388">
        <f t="shared" si="1"/>
        <v>1.6992041617221791</v>
      </c>
    </row>
    <row r="14" spans="1:3" x14ac:dyDescent="0.25">
      <c r="A14" s="342" t="s">
        <v>1368</v>
      </c>
      <c r="B14" s="386">
        <f>I33</f>
        <v>1.0483459085965445</v>
      </c>
      <c r="C14" s="5">
        <f>B14/B$15</f>
        <v>1.3700068333881986E-2</v>
      </c>
    </row>
    <row r="15" spans="1:3" x14ac:dyDescent="0.25">
      <c r="A15" s="389" t="s">
        <v>1369</v>
      </c>
      <c r="B15" s="390">
        <f>I34</f>
        <v>76.521217489394104</v>
      </c>
      <c r="C15" s="391">
        <f>SUM(C3:C14)</f>
        <v>0.99999999999999978</v>
      </c>
    </row>
    <row r="16" spans="1:3" x14ac:dyDescent="0.25">
      <c r="A16" s="342" t="s">
        <v>1247</v>
      </c>
      <c r="B16" s="386">
        <f>I35</f>
        <v>6.442568319083577</v>
      </c>
    </row>
    <row r="18" spans="1:9" x14ac:dyDescent="0.25">
      <c r="C18" s="5"/>
    </row>
    <row r="19" spans="1:9" x14ac:dyDescent="0.25">
      <c r="A19" s="1" t="s">
        <v>1370</v>
      </c>
    </row>
    <row r="20" spans="1:9" ht="16.5" x14ac:dyDescent="0.35">
      <c r="A20" s="419" t="s">
        <v>1156</v>
      </c>
      <c r="B20" s="420" t="s">
        <v>1371</v>
      </c>
      <c r="C20" s="420"/>
      <c r="D20" s="420"/>
      <c r="E20" s="420"/>
      <c r="F20" s="420"/>
      <c r="G20" s="420"/>
      <c r="H20" s="420"/>
      <c r="I20" s="420"/>
    </row>
    <row r="21" spans="1:9" ht="18" x14ac:dyDescent="0.35">
      <c r="A21" s="419"/>
      <c r="B21" s="393" t="s">
        <v>1372</v>
      </c>
      <c r="C21" s="393" t="s">
        <v>1373</v>
      </c>
      <c r="D21" s="393" t="s">
        <v>1374</v>
      </c>
      <c r="E21" s="393" t="s">
        <v>1375</v>
      </c>
      <c r="F21" s="393" t="s">
        <v>1376</v>
      </c>
      <c r="G21" s="393" t="s">
        <v>1377</v>
      </c>
      <c r="H21" s="393" t="s">
        <v>1378</v>
      </c>
      <c r="I21" s="393" t="s">
        <v>535</v>
      </c>
    </row>
    <row r="22" spans="1:9" x14ac:dyDescent="0.25">
      <c r="A22" s="342" t="s">
        <v>1360</v>
      </c>
      <c r="B22" s="394">
        <f t="shared" ref="B22:H22" si="2">SUM(B23:B26)</f>
        <v>24.790857802165021</v>
      </c>
      <c r="C22" s="394">
        <f t="shared" si="2"/>
        <v>11.834514244965419</v>
      </c>
      <c r="D22" s="394">
        <f t="shared" si="2"/>
        <v>3.9195521731546383E-2</v>
      </c>
      <c r="E22" s="394">
        <f t="shared" si="2"/>
        <v>0.72973331953218457</v>
      </c>
      <c r="F22" s="394">
        <f t="shared" si="2"/>
        <v>1.953862194758909E-2</v>
      </c>
      <c r="G22" s="394">
        <f t="shared" si="2"/>
        <v>9.8122017609491574E-2</v>
      </c>
      <c r="H22" s="394">
        <f t="shared" si="2"/>
        <v>4.5732848227918775E-3</v>
      </c>
      <c r="I22" s="394">
        <f>SUM(B22:H22)</f>
        <v>37.516534812774047</v>
      </c>
    </row>
    <row r="23" spans="1:9" x14ac:dyDescent="0.25">
      <c r="A23" s="387" t="s">
        <v>1361</v>
      </c>
      <c r="B23" s="395">
        <v>22.561108620928884</v>
      </c>
      <c r="C23" s="395">
        <v>11.756600171475583</v>
      </c>
      <c r="D23" s="395">
        <v>0</v>
      </c>
      <c r="E23" s="396" t="s">
        <v>1379</v>
      </c>
      <c r="F23" s="396" t="s">
        <v>1379</v>
      </c>
      <c r="G23" s="396" t="s">
        <v>1379</v>
      </c>
      <c r="H23" s="396" t="s">
        <v>1379</v>
      </c>
      <c r="I23" s="395">
        <f>SUM(B23:H23)</f>
        <v>34.317708792404467</v>
      </c>
    </row>
    <row r="24" spans="1:9" x14ac:dyDescent="0.25">
      <c r="A24" s="397" t="s">
        <v>1362</v>
      </c>
      <c r="B24" s="395">
        <f>IFC_Summary!E20/1000000</f>
        <v>1.5835322985431446</v>
      </c>
      <c r="C24" s="395">
        <f>IFC_Summary!F20*'IFC_Pre-sector Adj'!$B$25/1000000</f>
        <v>3.2208870972227012E-3</v>
      </c>
      <c r="D24" s="395">
        <f>IFC_Summary!G20*'IFC_Pre-sector Adj'!$B$26/1000000</f>
        <v>6.6211385229858416E-3</v>
      </c>
      <c r="E24" s="396" t="s">
        <v>1379</v>
      </c>
      <c r="F24" s="396" t="s">
        <v>1379</v>
      </c>
      <c r="G24" s="396" t="s">
        <v>1379</v>
      </c>
      <c r="H24" s="396" t="s">
        <v>1379</v>
      </c>
      <c r="I24" s="395">
        <f t="shared" ref="I24:I33" si="3">SUM(B24:H24)</f>
        <v>1.5933743241633531</v>
      </c>
    </row>
    <row r="25" spans="1:9" x14ac:dyDescent="0.25">
      <c r="A25" s="397" t="s">
        <v>1363</v>
      </c>
      <c r="B25" s="395">
        <f>SUMIF(IPPU_Summary!B4:B25,"CO2",IPPU_Summary!G4:G25)</f>
        <v>0.6403508071570545</v>
      </c>
      <c r="C25" s="396" t="s">
        <v>1379</v>
      </c>
      <c r="D25" s="395">
        <f>SUMIF(IPPU_Summary!B4:B25,"N2O",IPPU_Summary!G4:G25)</f>
        <v>3.2574383208560542E-2</v>
      </c>
      <c r="E25" s="395">
        <f>SUMIF(IPPU_Summary!B4:B25,"HFC",IPPU_Summary!G4:G25)+SUMIF(IPPU_Summary!B4:B25,"Other HFCs",IPPU_Summary!G4:G25)</f>
        <v>0.72973331953218457</v>
      </c>
      <c r="F25" s="395">
        <f>SUMIF(IPPU_Summary!B4:B25,"PFC",IPPU_Summary!G4:G25)+SUMIF(IPPU_Summary!B4:B25,"Other PFCs",IPPU_Summary!G4:G25)</f>
        <v>1.953862194758909E-2</v>
      </c>
      <c r="G25" s="395">
        <f>SUMIF(IPPU_Summary!B4:B25,"SF6",IPPU_Summary!G4:G25)</f>
        <v>9.8122017609491574E-2</v>
      </c>
      <c r="H25" s="395">
        <f>SUMIF(IPPU_Summary!B4:B25,"NF3",IPPU_Summary!G4:G25)</f>
        <v>4.5732848227918775E-3</v>
      </c>
      <c r="I25" s="395">
        <f t="shared" si="3"/>
        <v>1.5248924342776722</v>
      </c>
    </row>
    <row r="26" spans="1:9" x14ac:dyDescent="0.25">
      <c r="A26" s="387" t="s">
        <v>1364</v>
      </c>
      <c r="B26" s="395">
        <f>CMAM!C7/1000000</f>
        <v>5.8660755359359997E-3</v>
      </c>
      <c r="C26" s="395">
        <f>CMAM!B7*CMAM!B38/1000000</f>
        <v>7.4693186392612992E-2</v>
      </c>
      <c r="D26" s="396" t="s">
        <v>1379</v>
      </c>
      <c r="E26" s="396" t="s">
        <v>1379</v>
      </c>
      <c r="F26" s="396" t="s">
        <v>1379</v>
      </c>
      <c r="G26" s="396" t="s">
        <v>1379</v>
      </c>
      <c r="H26" s="396" t="s">
        <v>1379</v>
      </c>
      <c r="I26" s="395">
        <f t="shared" si="3"/>
        <v>8.0559261928548995E-2</v>
      </c>
    </row>
    <row r="27" spans="1:9" x14ac:dyDescent="0.25">
      <c r="A27" s="342" t="s">
        <v>506</v>
      </c>
      <c r="B27" s="394">
        <f>Transportation!B28</f>
        <v>17.010696698210765</v>
      </c>
      <c r="C27" s="394">
        <f>Transportation!C28*Transportation!C57</f>
        <v>3.5505369199999998E-2</v>
      </c>
      <c r="D27" s="394">
        <f>SUM(Transportation!D7:D14)*Transportation!C58</f>
        <v>0.18928257139760415</v>
      </c>
      <c r="E27" s="398" t="s">
        <v>1379</v>
      </c>
      <c r="F27" s="398" t="s">
        <v>1379</v>
      </c>
      <c r="G27" s="398" t="s">
        <v>1379</v>
      </c>
      <c r="H27" s="398" t="s">
        <v>1379</v>
      </c>
      <c r="I27" s="394">
        <f t="shared" si="3"/>
        <v>17.235484638808369</v>
      </c>
    </row>
    <row r="28" spans="1:9" s="400" customFormat="1" x14ac:dyDescent="0.25">
      <c r="A28" s="399" t="s">
        <v>525</v>
      </c>
      <c r="B28" s="394">
        <f>SUM(Agriculture!AK59:AK60)</f>
        <v>6.8938586437748989E-3</v>
      </c>
      <c r="C28" s="394">
        <f>SUM(Agriculture!AK15,Agriculture!AK58,Agriculture!AK62,Agriculture!AK24)</f>
        <v>4.4687993475606085</v>
      </c>
      <c r="D28" s="394">
        <f>SUM(Agriculture!AK55,Agriculture!AK63)</f>
        <v>5.5961898326922741</v>
      </c>
      <c r="E28" s="398" t="s">
        <v>1379</v>
      </c>
      <c r="F28" s="398" t="s">
        <v>1379</v>
      </c>
      <c r="G28" s="398" t="s">
        <v>1379</v>
      </c>
      <c r="H28" s="398" t="s">
        <v>1379</v>
      </c>
      <c r="I28" s="394">
        <f>SUM(B28:H28)</f>
        <v>10.071883038896658</v>
      </c>
    </row>
    <row r="29" spans="1:9" x14ac:dyDescent="0.25">
      <c r="A29" s="342" t="s">
        <v>565</v>
      </c>
      <c r="B29" s="394">
        <f>'Electricity Generation'!N16/1000000</f>
        <v>6.5917048191951286</v>
      </c>
      <c r="C29" s="394">
        <f>'Electricity Generation'!O16*Transportation!C57/1000000</f>
        <v>3.5315611852319417E-3</v>
      </c>
      <c r="D29" s="394">
        <f>'Electricity Generation'!P16*Transportation!C58/1000000</f>
        <v>3.4053024595808641E-3</v>
      </c>
      <c r="E29" s="398" t="s">
        <v>1379</v>
      </c>
      <c r="F29" s="398" t="s">
        <v>1379</v>
      </c>
      <c r="G29" s="398" t="s">
        <v>1379</v>
      </c>
      <c r="H29" s="398" t="s">
        <v>1379</v>
      </c>
      <c r="I29" s="394">
        <f t="shared" si="3"/>
        <v>6.5986416828399417</v>
      </c>
    </row>
    <row r="30" spans="1:9" s="400" customFormat="1" x14ac:dyDescent="0.25">
      <c r="A30" s="399" t="s">
        <v>1365</v>
      </c>
      <c r="B30" s="394">
        <f>SUM(B31:B32)</f>
        <v>3.9698670111514982</v>
      </c>
      <c r="C30" s="394">
        <f>SUM(C31:C32)</f>
        <v>7.0020828191943787E-2</v>
      </c>
      <c r="D30" s="394">
        <f>SUM(D31:D32)</f>
        <v>1.0439568135090831E-2</v>
      </c>
      <c r="E30" s="398" t="s">
        <v>1379</v>
      </c>
      <c r="F30" s="398" t="s">
        <v>1379</v>
      </c>
      <c r="G30" s="398" t="s">
        <v>1379</v>
      </c>
      <c r="H30" s="398" t="s">
        <v>1379</v>
      </c>
      <c r="I30" s="394">
        <f>SUM(B30:H30)</f>
        <v>4.0503274074785329</v>
      </c>
    </row>
    <row r="31" spans="1:9" s="400" customFormat="1" x14ac:dyDescent="0.25">
      <c r="A31" s="397" t="s">
        <v>1366</v>
      </c>
      <c r="B31" s="395">
        <f>'Residential Buildings'!B12/1000000</f>
        <v>2.2869933166666665</v>
      </c>
      <c r="C31" s="395">
        <f>'Residential Buildings'!C12*'Residential Buildings'!C58/1000000</f>
        <v>5.6097369006886361E-2</v>
      </c>
      <c r="D31" s="395">
        <f>'Residential Buildings'!D12*'Residential Buildings'!C59/1000000</f>
        <v>8.0325600828007934E-3</v>
      </c>
      <c r="E31" s="396" t="s">
        <v>1379</v>
      </c>
      <c r="F31" s="396" t="s">
        <v>1379</v>
      </c>
      <c r="G31" s="396" t="s">
        <v>1379</v>
      </c>
      <c r="H31" s="396" t="s">
        <v>1379</v>
      </c>
      <c r="I31" s="395">
        <f t="shared" si="3"/>
        <v>2.3511232457563533</v>
      </c>
    </row>
    <row r="32" spans="1:9" x14ac:dyDescent="0.25">
      <c r="A32" s="387" t="s">
        <v>1367</v>
      </c>
      <c r="B32" s="395">
        <f>'Commercial Buildings'!B12/1000000</f>
        <v>1.6828736944848317</v>
      </c>
      <c r="C32" s="395">
        <f>'Commercial Buildings'!C12*'Commercial Buildings'!C129/1000000</f>
        <v>1.3923459185057427E-2</v>
      </c>
      <c r="D32" s="395">
        <f>'Commercial Buildings'!D12*'Commercial Buildings'!C130/1000000</f>
        <v>2.4070080522900364E-3</v>
      </c>
      <c r="E32" s="396" t="s">
        <v>1379</v>
      </c>
      <c r="F32" s="396" t="s">
        <v>1379</v>
      </c>
      <c r="G32" s="396" t="s">
        <v>1379</v>
      </c>
      <c r="H32" s="396" t="s">
        <v>1379</v>
      </c>
      <c r="I32" s="395">
        <f t="shared" si="3"/>
        <v>1.6992041617221791</v>
      </c>
    </row>
    <row r="33" spans="1:9" s="400" customFormat="1" x14ac:dyDescent="0.25">
      <c r="A33" s="399" t="s">
        <v>1368</v>
      </c>
      <c r="B33" s="398" t="s">
        <v>1379</v>
      </c>
      <c r="C33" s="394">
        <f>SUM(Waste!AX8:AX11,Waste!AX13,Waste!AX15)</f>
        <v>0.9290492395561929</v>
      </c>
      <c r="D33" s="394">
        <f>SUM(Waste!AX12,Waste!AX14,Waste!AX16)</f>
        <v>0.11929666904035154</v>
      </c>
      <c r="E33" s="398" t="s">
        <v>1379</v>
      </c>
      <c r="F33" s="398" t="s">
        <v>1379</v>
      </c>
      <c r="G33" s="398" t="s">
        <v>1379</v>
      </c>
      <c r="H33" s="398" t="s">
        <v>1379</v>
      </c>
      <c r="I33" s="394">
        <f t="shared" si="3"/>
        <v>1.0483459085965445</v>
      </c>
    </row>
    <row r="34" spans="1:9" s="400" customFormat="1" x14ac:dyDescent="0.25">
      <c r="A34" s="401" t="s">
        <v>1369</v>
      </c>
      <c r="B34" s="402">
        <f t="shared" ref="B34:H34" si="4">SUM(B22,B27:B30,B33)</f>
        <v>52.370020189366194</v>
      </c>
      <c r="C34" s="402">
        <f t="shared" si="4"/>
        <v>17.341420590659393</v>
      </c>
      <c r="D34" s="402">
        <f t="shared" si="4"/>
        <v>5.9578094654564477</v>
      </c>
      <c r="E34" s="402">
        <f t="shared" si="4"/>
        <v>0.72973331953218457</v>
      </c>
      <c r="F34" s="402">
        <f t="shared" si="4"/>
        <v>1.953862194758909E-2</v>
      </c>
      <c r="G34" s="402">
        <f t="shared" si="4"/>
        <v>9.8122017609491574E-2</v>
      </c>
      <c r="H34" s="402">
        <f t="shared" si="4"/>
        <v>4.5732848227918775E-3</v>
      </c>
      <c r="I34" s="402">
        <f>SUM(B34:H34)</f>
        <v>76.521217489394104</v>
      </c>
    </row>
    <row r="35" spans="1:9" s="400" customFormat="1" x14ac:dyDescent="0.25">
      <c r="A35" s="399" t="s">
        <v>1247</v>
      </c>
      <c r="B35" s="394">
        <f>NWL!AK159</f>
        <v>5.8875701114812671</v>
      </c>
      <c r="C35" s="394">
        <f>SUMIF(NWL!$C5:$C152,"CH4",NWL!AK5:AK152)</f>
        <v>0.43491008169744955</v>
      </c>
      <c r="D35" s="394">
        <f>SUMIF(NWL!$C5:$C152,"N2O",NWL!AK5:AK152)</f>
        <v>0.12008812590486034</v>
      </c>
      <c r="E35" s="398" t="s">
        <v>1379</v>
      </c>
      <c r="F35" s="398" t="s">
        <v>1379</v>
      </c>
      <c r="G35" s="398" t="s">
        <v>1379</v>
      </c>
      <c r="H35" s="398" t="s">
        <v>1379</v>
      </c>
      <c r="I35" s="394">
        <f>SUM(B35:H35)</f>
        <v>6.442568319083577</v>
      </c>
    </row>
    <row r="37" spans="1:9" x14ac:dyDescent="0.25">
      <c r="B37" s="71"/>
      <c r="C37" s="71"/>
      <c r="D37" s="71"/>
    </row>
    <row r="38" spans="1:9" x14ac:dyDescent="0.25">
      <c r="A38" s="1" t="s">
        <v>1380</v>
      </c>
    </row>
    <row r="39" spans="1:9" ht="61.5" x14ac:dyDescent="0.35">
      <c r="A39" s="392" t="s">
        <v>1156</v>
      </c>
      <c r="B39" s="393" t="s">
        <v>1381</v>
      </c>
      <c r="C39" s="393" t="s">
        <v>1382</v>
      </c>
      <c r="D39" s="393" t="s">
        <v>1383</v>
      </c>
      <c r="E39" s="393" t="s">
        <v>1384</v>
      </c>
      <c r="F39" s="393" t="s">
        <v>1385</v>
      </c>
      <c r="G39" s="393" t="s">
        <v>1386</v>
      </c>
    </row>
    <row r="40" spans="1:9" x14ac:dyDescent="0.25">
      <c r="A40" s="342" t="s">
        <v>1360</v>
      </c>
      <c r="B40" s="386">
        <f>SUM(B41:B44)</f>
        <v>47.72</v>
      </c>
      <c r="C40" s="394">
        <f>SUM(C41:C44)</f>
        <v>66.23</v>
      </c>
      <c r="D40" s="386">
        <f t="shared" ref="D40" si="5">SUM(D41:D44)</f>
        <v>40.43</v>
      </c>
      <c r="E40" s="386">
        <f>I22</f>
        <v>37.516534812774047</v>
      </c>
      <c r="F40" s="403">
        <f>(E40-B40)/B40</f>
        <v>-0.21381947165184309</v>
      </c>
      <c r="G40" s="403">
        <f>(E40-D40)/D40</f>
        <v>-7.2061963572247159E-2</v>
      </c>
      <c r="H40" t="s">
        <v>1456</v>
      </c>
    </row>
    <row r="41" spans="1:9" x14ac:dyDescent="0.25">
      <c r="A41" s="387" t="s">
        <v>1361</v>
      </c>
      <c r="B41" s="388">
        <f>24.02+14.8</f>
        <v>38.82</v>
      </c>
      <c r="C41" s="395">
        <v>60.4</v>
      </c>
      <c r="D41" s="388">
        <f>15.47+18.92</f>
        <v>34.39</v>
      </c>
      <c r="E41" s="388">
        <f t="shared" ref="E41:E51" si="6">I23</f>
        <v>34.317708792404467</v>
      </c>
      <c r="F41" s="404">
        <f t="shared" ref="F41:F51" si="7">(E41-B41)/B41</f>
        <v>-0.11597865037597974</v>
      </c>
      <c r="G41" s="404">
        <f t="shared" ref="G41:G52" si="8">(E41-D41)/D41</f>
        <v>-2.1020996683784104E-3</v>
      </c>
      <c r="H41" t="s">
        <v>1457</v>
      </c>
    </row>
    <row r="42" spans="1:9" x14ac:dyDescent="0.25">
      <c r="A42" s="387" t="s">
        <v>1362</v>
      </c>
      <c r="B42" s="388">
        <v>4.68</v>
      </c>
      <c r="C42" s="395">
        <v>2.13</v>
      </c>
      <c r="D42" s="388">
        <v>3.63</v>
      </c>
      <c r="E42" s="388">
        <f t="shared" si="6"/>
        <v>1.5933743241633531</v>
      </c>
      <c r="F42" s="404">
        <f t="shared" si="7"/>
        <v>-0.65953540081979634</v>
      </c>
      <c r="G42" s="404">
        <f t="shared" si="8"/>
        <v>-0.56105390518915899</v>
      </c>
      <c r="H42" t="s">
        <v>340</v>
      </c>
    </row>
    <row r="43" spans="1:9" x14ac:dyDescent="0.25">
      <c r="A43" s="387" t="s">
        <v>1363</v>
      </c>
      <c r="B43" s="388">
        <v>2.5299999999999998</v>
      </c>
      <c r="C43" s="395">
        <v>2.75</v>
      </c>
      <c r="D43" s="388">
        <v>1.48</v>
      </c>
      <c r="E43" s="388">
        <f t="shared" si="6"/>
        <v>1.5248924342776722</v>
      </c>
      <c r="F43" s="404">
        <f t="shared" si="7"/>
        <v>-0.39727571767680936</v>
      </c>
      <c r="G43" s="404">
        <f t="shared" si="8"/>
        <v>3.0332725863292026E-2</v>
      </c>
      <c r="H43" t="s">
        <v>446</v>
      </c>
    </row>
    <row r="44" spans="1:9" x14ac:dyDescent="0.25">
      <c r="A44" s="387" t="s">
        <v>1364</v>
      </c>
      <c r="B44" s="388">
        <v>1.69</v>
      </c>
      <c r="C44" s="395">
        <v>0.95</v>
      </c>
      <c r="D44" s="388">
        <v>0.93</v>
      </c>
      <c r="E44" s="388">
        <f t="shared" si="6"/>
        <v>8.0559261928548995E-2</v>
      </c>
      <c r="F44" s="404">
        <f t="shared" si="7"/>
        <v>-0.95233179767541487</v>
      </c>
      <c r="G44" s="404">
        <f t="shared" si="8"/>
        <v>-0.91337713771123763</v>
      </c>
      <c r="H44" t="s">
        <v>506</v>
      </c>
    </row>
    <row r="45" spans="1:9" x14ac:dyDescent="0.25">
      <c r="A45" s="342" t="s">
        <v>506</v>
      </c>
      <c r="B45" s="386">
        <v>15.85</v>
      </c>
      <c r="C45" s="394">
        <v>15.85</v>
      </c>
      <c r="D45" s="386">
        <v>16.77</v>
      </c>
      <c r="E45" s="386">
        <f t="shared" si="6"/>
        <v>17.235484638808369</v>
      </c>
      <c r="F45" s="403">
        <f t="shared" si="7"/>
        <v>8.741228005100124E-2</v>
      </c>
      <c r="G45" s="403">
        <f t="shared" si="8"/>
        <v>2.7756985021369696E-2</v>
      </c>
      <c r="H45" t="s">
        <v>525</v>
      </c>
    </row>
    <row r="46" spans="1:9" x14ac:dyDescent="0.25">
      <c r="A46" s="342" t="s">
        <v>525</v>
      </c>
      <c r="B46" s="386">
        <v>11.15</v>
      </c>
      <c r="C46" s="394">
        <v>7.7</v>
      </c>
      <c r="D46" s="386">
        <v>10.25</v>
      </c>
      <c r="E46" s="386">
        <f t="shared" si="6"/>
        <v>10.071883038896658</v>
      </c>
      <c r="F46" s="403">
        <f t="shared" si="7"/>
        <v>-9.6692104134828899E-2</v>
      </c>
      <c r="G46" s="403">
        <f t="shared" si="8"/>
        <v>-1.737726449788702E-2</v>
      </c>
      <c r="H46" t="s">
        <v>565</v>
      </c>
    </row>
    <row r="47" spans="1:9" x14ac:dyDescent="0.25">
      <c r="A47" s="342" t="s">
        <v>565</v>
      </c>
      <c r="B47" s="386">
        <v>16.329999999999998</v>
      </c>
      <c r="C47" s="394">
        <v>12.1</v>
      </c>
      <c r="D47" s="386">
        <v>10.31</v>
      </c>
      <c r="E47" s="386">
        <f t="shared" si="6"/>
        <v>6.5986416828399417</v>
      </c>
      <c r="F47" s="403">
        <f t="shared" si="7"/>
        <v>-0.59591906412492701</v>
      </c>
      <c r="G47" s="403">
        <f t="shared" si="8"/>
        <v>-0.3599765584054373</v>
      </c>
    </row>
    <row r="48" spans="1:9" x14ac:dyDescent="0.25">
      <c r="A48" s="342" t="s">
        <v>1365</v>
      </c>
      <c r="B48" s="386">
        <f>SUM(B49:B50)</f>
        <v>4.07</v>
      </c>
      <c r="C48" s="394">
        <f>SUM(C49:C50)</f>
        <v>3.89</v>
      </c>
      <c r="D48" s="386">
        <f>SUM(D49:D50)</f>
        <v>4.1500000000000004</v>
      </c>
      <c r="E48" s="386">
        <f t="shared" si="6"/>
        <v>4.0503274074785329</v>
      </c>
      <c r="F48" s="403">
        <f t="shared" si="7"/>
        <v>-4.8335608160853458E-3</v>
      </c>
      <c r="G48" s="403">
        <f t="shared" si="8"/>
        <v>-2.401749217384757E-2</v>
      </c>
      <c r="H48" t="s">
        <v>1080</v>
      </c>
    </row>
    <row r="49" spans="1:8" x14ac:dyDescent="0.25">
      <c r="A49" s="387" t="s">
        <v>1366</v>
      </c>
      <c r="B49" s="388">
        <v>2.37</v>
      </c>
      <c r="C49" s="395">
        <v>2.1800000000000002</v>
      </c>
      <c r="D49" s="388">
        <v>2.36</v>
      </c>
      <c r="E49" s="388">
        <f t="shared" si="6"/>
        <v>2.3511232457563533</v>
      </c>
      <c r="F49" s="404">
        <f t="shared" si="7"/>
        <v>-7.9648752082897741E-3</v>
      </c>
      <c r="G49" s="404">
        <f t="shared" si="8"/>
        <v>-3.7613365439180231E-3</v>
      </c>
      <c r="H49" t="s">
        <v>1130</v>
      </c>
    </row>
    <row r="50" spans="1:8" x14ac:dyDescent="0.25">
      <c r="A50" s="387" t="s">
        <v>1367</v>
      </c>
      <c r="B50" s="388">
        <v>1.7</v>
      </c>
      <c r="C50" s="395">
        <v>1.71</v>
      </c>
      <c r="D50" s="388">
        <v>1.79</v>
      </c>
      <c r="E50" s="388">
        <f t="shared" si="6"/>
        <v>1.6992041617221791</v>
      </c>
      <c r="F50" s="404">
        <f t="shared" si="7"/>
        <v>-4.6814016342400889E-4</v>
      </c>
      <c r="G50" s="404">
        <f t="shared" si="8"/>
        <v>-5.0723931998782619E-2</v>
      </c>
      <c r="H50" t="s">
        <v>1368</v>
      </c>
    </row>
    <row r="51" spans="1:8" x14ac:dyDescent="0.25">
      <c r="A51" s="342" t="s">
        <v>1368</v>
      </c>
      <c r="B51" s="386">
        <v>1.32</v>
      </c>
      <c r="C51" s="394">
        <v>1.83</v>
      </c>
      <c r="D51" s="386">
        <v>1.06</v>
      </c>
      <c r="E51" s="386">
        <f t="shared" si="6"/>
        <v>1.0483459085965445</v>
      </c>
      <c r="F51" s="403">
        <f t="shared" si="7"/>
        <v>-0.2057985540935269</v>
      </c>
      <c r="G51" s="403">
        <f t="shared" si="8"/>
        <v>-1.0994425852316532E-2</v>
      </c>
    </row>
    <row r="52" spans="1:8" x14ac:dyDescent="0.25">
      <c r="A52" s="389" t="s">
        <v>1369</v>
      </c>
      <c r="B52" s="390">
        <f>SUM(B40,B45:B48,B51)</f>
        <v>96.44</v>
      </c>
      <c r="C52" s="402">
        <f>SUM(C40,C45:C48,C51)</f>
        <v>107.6</v>
      </c>
      <c r="D52" s="390">
        <f t="shared" ref="D52" si="9">SUM(D40,D45:D48,D51)</f>
        <v>82.970000000000013</v>
      </c>
      <c r="E52" s="390">
        <f>I34</f>
        <v>76.521217489394104</v>
      </c>
      <c r="F52" s="405">
        <f>(E52-B52)/B52</f>
        <v>-0.20654067306725316</v>
      </c>
      <c r="G52" s="405">
        <f>(E52-D52)/D52</f>
        <v>-7.7724267935469549E-2</v>
      </c>
    </row>
    <row r="53" spans="1:8" x14ac:dyDescent="0.25">
      <c r="A53" s="342" t="s">
        <v>1247</v>
      </c>
      <c r="B53" s="386">
        <v>9.57</v>
      </c>
      <c r="C53" s="394">
        <v>6.06</v>
      </c>
      <c r="D53" s="386">
        <v>2.95</v>
      </c>
      <c r="E53" s="386">
        <f>I35</f>
        <v>6.442568319083577</v>
      </c>
      <c r="F53" s="403">
        <f>(E53-B53)/B53</f>
        <v>-0.32679536895678402</v>
      </c>
      <c r="G53" s="403">
        <f>(E53-D53)/D53</f>
        <v>1.1839214640961278</v>
      </c>
    </row>
  </sheetData>
  <mergeCells count="2">
    <mergeCell ref="A20:A21"/>
    <mergeCell ref="B20:I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CE5A3-0217-433E-A3D0-B5FF5998DFBF}">
  <sheetPr>
    <tabColor rgb="FFD45EC6"/>
  </sheetPr>
  <dimension ref="A1:M29"/>
  <sheetViews>
    <sheetView zoomScaleNormal="100" workbookViewId="0">
      <selection activeCell="H4" sqref="H4"/>
    </sheetView>
  </sheetViews>
  <sheetFormatPr defaultRowHeight="15" x14ac:dyDescent="0.25"/>
  <cols>
    <col min="1" max="1" width="19.140625" customWidth="1"/>
    <col min="2" max="2" width="29" bestFit="1" customWidth="1"/>
    <col min="3" max="3" width="16" bestFit="1" customWidth="1"/>
    <col min="4" max="4" width="12" bestFit="1" customWidth="1"/>
    <col min="5" max="5" width="13.85546875" customWidth="1"/>
    <col min="6" max="6" width="15.28515625" customWidth="1"/>
    <col min="7" max="7" width="13.5703125" bestFit="1" customWidth="1"/>
    <col min="8" max="8" width="20.85546875" customWidth="1"/>
  </cols>
  <sheetData>
    <row r="1" spans="1:9" ht="18.75" x14ac:dyDescent="0.3">
      <c r="A1" s="102" t="s">
        <v>0</v>
      </c>
    </row>
    <row r="3" spans="1:9" x14ac:dyDescent="0.25">
      <c r="A3" s="10" t="s">
        <v>1</v>
      </c>
      <c r="B3" s="10" t="s">
        <v>2</v>
      </c>
      <c r="C3" s="10" t="s">
        <v>3</v>
      </c>
      <c r="D3" s="10" t="s">
        <v>4</v>
      </c>
      <c r="E3" s="11" t="s">
        <v>5</v>
      </c>
      <c r="F3" s="11" t="s">
        <v>6</v>
      </c>
      <c r="G3" s="11" t="s">
        <v>7</v>
      </c>
      <c r="H3" s="11" t="s">
        <v>8</v>
      </c>
    </row>
    <row r="4" spans="1:9" x14ac:dyDescent="0.25">
      <c r="A4" s="2" t="s">
        <v>9</v>
      </c>
      <c r="B4" s="2" t="s">
        <v>9</v>
      </c>
      <c r="C4" s="2">
        <v>2023</v>
      </c>
      <c r="D4" s="2" t="s">
        <v>10</v>
      </c>
      <c r="E4" s="60">
        <f>SUMIFS('IFC_Pre-sector Adj'!N$3:N$20,'IFC_Pre-sector Adj'!$A$3:$A$20,$A4,'IFC_Pre-sector Adj'!$B$3:$B$20,$B4)</f>
        <v>133081.46768339863</v>
      </c>
      <c r="F4" s="60">
        <f>SUMIFS('IFC_Pre-sector Adj'!O$3:O$20,'IFC_Pre-sector Adj'!$A$3:$A$20,$A4,'IFC_Pre-sector Adj'!$B$3:$B$20,$B4)</f>
        <v>14.278499999999999</v>
      </c>
      <c r="G4" s="60">
        <f>SUMIFS('IFC_Pre-sector Adj'!P$3:P$20,'IFC_Pre-sector Adj'!$A$3:$A$20,$A4,'IFC_Pre-sector Adj'!$B$3:$B$20,$B4)</f>
        <v>2.1375000000000002</v>
      </c>
      <c r="H4" s="61">
        <f>($E4+($F4*'IFC_Pre-sector Adj'!$B$25)+($G4*'IFC_Pre-sector Adj'!$B$26))/10^6</f>
        <v>0.13404770318339865</v>
      </c>
    </row>
    <row r="5" spans="1:9" x14ac:dyDescent="0.25">
      <c r="A5" s="2" t="s">
        <v>11</v>
      </c>
      <c r="B5" s="2" t="s">
        <v>11</v>
      </c>
      <c r="C5" s="2">
        <v>2023</v>
      </c>
      <c r="D5" s="2" t="s">
        <v>10</v>
      </c>
      <c r="E5" s="60">
        <f>SUMIFS('IFC_Pre-sector Adj'!N$3:N$20,'IFC_Pre-sector Adj'!$A$3:$A$20,$A5,'IFC_Pre-sector Adj'!$B$3:$B$20,$B5)-'IFC_Sector Adjustments'!$B$21</f>
        <v>520242.98112943524</v>
      </c>
      <c r="F5" s="60">
        <f>SUMIFS('IFC_Pre-sector Adj'!O$3:O$20,'IFC_Pre-sector Adj'!$A$3:$A$20,$A5,'IFC_Pre-sector Adj'!$B$3:$B$20,$B5)-'IFC_Sector Adjustments'!$B$22</f>
        <v>9.9232371819505918</v>
      </c>
      <c r="G5" s="60">
        <f>SUMIFS('IFC_Pre-sector Adj'!P$3:P$20,'IFC_Pre-sector Adj'!$A$3:$A$20,$A5,'IFC_Pre-sector Adj'!$B$3:$B$20,$B5)-'IFC_Sector Adjustments'!$B$23</f>
        <v>0.93592838862581929</v>
      </c>
      <c r="H5" s="61">
        <f>($E5+($F5*'IFC_Pre-sector Adj'!$B$25)+($G5*'IFC_Pre-sector Adj'!$B$26))/10^6</f>
        <v>0.5207688527935157</v>
      </c>
      <c r="I5" s="100" t="s">
        <v>12</v>
      </c>
    </row>
    <row r="6" spans="1:9" x14ac:dyDescent="0.25">
      <c r="A6" s="2" t="s">
        <v>13</v>
      </c>
      <c r="B6" s="2" t="s">
        <v>14</v>
      </c>
      <c r="C6" s="2">
        <v>2023</v>
      </c>
      <c r="D6" s="2" t="s">
        <v>10</v>
      </c>
      <c r="E6" s="60">
        <f>SUMIFS('IFC_Pre-sector Adj'!N$3:N$20,'IFC_Pre-sector Adj'!$A$3:$A$20,$A6,'IFC_Pre-sector Adj'!$B$3:$B$20,$B6)</f>
        <v>0</v>
      </c>
      <c r="F6" s="60">
        <f>SUMIFS('IFC_Pre-sector Adj'!O$3:O$20,'IFC_Pre-sector Adj'!$A$3:$A$20,$A6,'IFC_Pre-sector Adj'!$B$3:$B$20,$B6)</f>
        <v>23.824149999999999</v>
      </c>
      <c r="G6" s="60">
        <f>SUMIFS('IFC_Pre-sector Adj'!P$3:P$20,'IFC_Pre-sector Adj'!$A$3:$A$20,$A6,'IFC_Pre-sector Adj'!$B$3:$B$20,$B6)</f>
        <v>4.7489999999999997</v>
      </c>
      <c r="H6" s="62">
        <f>($E6+($F6*'IFC_Pre-sector Adj'!$B$25)+($G6*'IFC_Pre-sector Adj'!$B$26))/10^6</f>
        <v>1.9255612E-3</v>
      </c>
    </row>
    <row r="7" spans="1:9" x14ac:dyDescent="0.25">
      <c r="A7" s="2" t="s">
        <v>13</v>
      </c>
      <c r="B7" s="2" t="s">
        <v>15</v>
      </c>
      <c r="C7" s="2">
        <v>2023</v>
      </c>
      <c r="D7" s="2" t="s">
        <v>10</v>
      </c>
      <c r="E7" s="72">
        <v>0</v>
      </c>
      <c r="F7" s="60">
        <f>SUMIFS('IFC_Pre-sector Adj'!O$3:O$20,'IFC_Pre-sector Adj'!$A$3:$A$20,$A7,'IFC_Pre-sector Adj'!$B$3:$B$20,$B7)-'IFC_Sector Adjustments'!$C$12</f>
        <v>25.1734448617173</v>
      </c>
      <c r="G7" s="60">
        <f>SUMIFS('IFC_Pre-sector Adj'!P$3:P$20,'IFC_Pre-sector Adj'!$A$3:$A$20,$A7,'IFC_Pre-sector Adj'!$B$3:$B$20,$B7)</f>
        <v>7.1705999999999994</v>
      </c>
      <c r="H7" s="61">
        <f>($E7+($F7*'IFC_Pre-sector Adj'!$B$25)+($G7*'IFC_Pre-sector Adj'!$B$26))/10^6</f>
        <v>2.6050654561280842E-3</v>
      </c>
      <c r="I7" s="100" t="s">
        <v>16</v>
      </c>
    </row>
    <row r="8" spans="1:9" x14ac:dyDescent="0.25">
      <c r="A8" s="2" t="s">
        <v>13</v>
      </c>
      <c r="B8" s="2" t="s">
        <v>17</v>
      </c>
      <c r="C8" s="2">
        <v>2023</v>
      </c>
      <c r="D8" s="2" t="s">
        <v>10</v>
      </c>
      <c r="E8" s="60">
        <f>SUMIFS('IFC_Pre-sector Adj'!N$3:N$20,'IFC_Pre-sector Adj'!$A$3:$A$20,$A8,'IFC_Pre-sector Adj'!$B$3:$B$20,$B8)</f>
        <v>0</v>
      </c>
      <c r="F8" s="60">
        <f>SUMIFS('IFC_Pre-sector Adj'!O$3:O$20,'IFC_Pre-sector Adj'!$A$3:$A$20,$A8,'IFC_Pre-sector Adj'!$B$3:$B$20,$B8)</f>
        <v>0</v>
      </c>
      <c r="G8" s="60">
        <f>SUMIFS('IFC_Pre-sector Adj'!P$3:P$20,'IFC_Pre-sector Adj'!$A$3:$A$20,$A8,'IFC_Pre-sector Adj'!$B$3:$B$20,$B8)</f>
        <v>0</v>
      </c>
      <c r="H8" s="61">
        <f>($E8+($F8*'IFC_Pre-sector Adj'!$B$25)+($G8*'IFC_Pre-sector Adj'!$B$26))/10^6</f>
        <v>0</v>
      </c>
    </row>
    <row r="9" spans="1:9" x14ac:dyDescent="0.25">
      <c r="A9" s="2" t="s">
        <v>13</v>
      </c>
      <c r="B9" s="2" t="s">
        <v>18</v>
      </c>
      <c r="C9" s="2">
        <v>2023</v>
      </c>
      <c r="D9" s="2" t="s">
        <v>10</v>
      </c>
      <c r="E9" s="60">
        <f>SUMIFS('IFC_Pre-sector Adj'!N$3:N$20,'IFC_Pre-sector Adj'!$A$3:$A$20,$A9,'IFC_Pre-sector Adj'!$B$3:$B$20,$B9)</f>
        <v>8207.0113843747313</v>
      </c>
      <c r="F9" s="60">
        <f>SUMIFS('IFC_Pre-sector Adj'!O$3:O$20,'IFC_Pre-sector Adj'!$A$3:$A$20,$A9,'IFC_Pre-sector Adj'!$B$3:$B$20,$B9)</f>
        <v>2.7090000000000001</v>
      </c>
      <c r="G9" s="60">
        <f>SUMIFS('IFC_Pre-sector Adj'!P$3:P$20,'IFC_Pre-sector Adj'!$A$3:$A$20,$A9,'IFC_Pre-sector Adj'!$B$3:$B$20,$B9)</f>
        <v>0.53999999999999992</v>
      </c>
      <c r="H9" s="61">
        <f>($E9+($F9*'IFC_Pre-sector Adj'!$B$25)+($G9*'IFC_Pre-sector Adj'!$B$26))/10^6</f>
        <v>8.4259633843747316E-3</v>
      </c>
    </row>
    <row r="10" spans="1:9" x14ac:dyDescent="0.25">
      <c r="A10" s="2" t="s">
        <v>13</v>
      </c>
      <c r="B10" s="2" t="s">
        <v>19</v>
      </c>
      <c r="C10" s="2">
        <v>2023</v>
      </c>
      <c r="D10" s="2" t="s">
        <v>10</v>
      </c>
      <c r="E10" s="60">
        <f>SUMIFS('IFC_Pre-sector Adj'!N$3:N$20,'IFC_Pre-sector Adj'!$A$3:$A$20,$A10,'IFC_Pre-sector Adj'!$B$3:$B$20,$B10)</f>
        <v>146.4</v>
      </c>
      <c r="F10" s="63">
        <f>SUMIFS('IFC_Pre-sector Adj'!O$3:O$20,'IFC_Pre-sector Adj'!$A$3:$A$20,$A10,'IFC_Pre-sector Adj'!$B$3:$B$20,$B10)</f>
        <v>6.0200000000000002E-3</v>
      </c>
      <c r="G10" s="64">
        <f>SUMIFS('IFC_Pre-sector Adj'!P$3:P$20,'IFC_Pre-sector Adj'!$A$3:$A$20,$A10,'IFC_Pre-sector Adj'!$B$3:$B$20,$B10)</f>
        <v>1.1999999999999999E-3</v>
      </c>
      <c r="H10" s="65">
        <f>($E10+($F10*'IFC_Pre-sector Adj'!$B$25)+($G10*'IFC_Pre-sector Adj'!$B$26))/10^6</f>
        <v>1.4688656000000003E-4</v>
      </c>
    </row>
    <row r="11" spans="1:9" x14ac:dyDescent="0.25">
      <c r="A11" s="2" t="s">
        <v>13</v>
      </c>
      <c r="B11" s="2" t="s">
        <v>20</v>
      </c>
      <c r="C11" s="2">
        <v>2023</v>
      </c>
      <c r="D11" s="2" t="s">
        <v>10</v>
      </c>
      <c r="E11" s="60">
        <f>SUMIFS('IFC_Pre-sector Adj'!N$3:N$20,'IFC_Pre-sector Adj'!$A$3:$A$20,$A11,'IFC_Pre-sector Adj'!$B$3:$B$20,$B11)</f>
        <v>0</v>
      </c>
      <c r="F11" s="60">
        <f>SUMIFS('IFC_Pre-sector Adj'!O$3:O$20,'IFC_Pre-sector Adj'!$A$3:$A$20,$A11,'IFC_Pre-sector Adj'!$B$3:$B$20,$B11)</f>
        <v>2.7782300000000002</v>
      </c>
      <c r="G11" s="60">
        <f>SUMIFS('IFC_Pre-sector Adj'!P$3:P$20,'IFC_Pre-sector Adj'!$A$3:$A$20,$A11,'IFC_Pre-sector Adj'!$B$3:$B$20,$B11)</f>
        <v>0.55379999999999996</v>
      </c>
      <c r="H11" s="65">
        <f>($E11+($F11*'IFC_Pre-sector Adj'!$B$25)+($G11*'IFC_Pre-sector Adj'!$B$26))/10^6</f>
        <v>2.2454743999999999E-4</v>
      </c>
    </row>
    <row r="12" spans="1:9" x14ac:dyDescent="0.25">
      <c r="A12" s="2" t="s">
        <v>13</v>
      </c>
      <c r="B12" s="2" t="s">
        <v>21</v>
      </c>
      <c r="C12" s="2">
        <v>2023</v>
      </c>
      <c r="D12" s="2" t="s">
        <v>10</v>
      </c>
      <c r="E12" s="60">
        <f>SUMIFS('IFC_Pre-sector Adj'!N$3:N$20,'IFC_Pre-sector Adj'!$A$3:$A$20,$A12,'IFC_Pre-sector Adj'!$B$3:$B$20,$B12)-'IFC_Sector Adjustments'!$B$11-'IFC_Sector Adjustments'!$B$31</f>
        <v>122428.57250293794</v>
      </c>
      <c r="F12" s="72">
        <v>0</v>
      </c>
      <c r="G12" s="60">
        <f>SUMIFS('IFC_Pre-sector Adj'!P$3:P$20,'IFC_Pre-sector Adj'!$A$3:$A$20,$A12,'IFC_Pre-sector Adj'!$B$3:$B$20,$B12)</f>
        <v>1.6649999999999998</v>
      </c>
      <c r="H12" s="61">
        <f>($E12+($F12*'IFC_Pre-sector Adj'!$B$25)+($G12*'IFC_Pre-sector Adj'!$B$26))/10^6</f>
        <v>0.12286979750293794</v>
      </c>
      <c r="I12" s="100" t="s">
        <v>22</v>
      </c>
    </row>
    <row r="13" spans="1:9" x14ac:dyDescent="0.25">
      <c r="A13" s="2" t="s">
        <v>13</v>
      </c>
      <c r="B13" s="2" t="s">
        <v>23</v>
      </c>
      <c r="C13" s="2">
        <v>2023</v>
      </c>
      <c r="D13" s="2" t="s">
        <v>10</v>
      </c>
      <c r="E13" s="60">
        <f>SUMIFS('IFC_Pre-sector Adj'!N$3:N$20,'IFC_Pre-sector Adj'!$A$3:$A$20,$A13,'IFC_Pre-sector Adj'!$B$3:$B$20,$B13)</f>
        <v>0</v>
      </c>
      <c r="F13" s="63">
        <f>SUMIFS('IFC_Pre-sector Adj'!O$3:O$20,'IFC_Pre-sector Adj'!$A$3:$A$20,$A13,'IFC_Pre-sector Adj'!$B$3:$B$20,$B13)</f>
        <v>4.8160000000000001E-2</v>
      </c>
      <c r="G13" s="63">
        <f>SUMIFS('IFC_Pre-sector Adj'!P$3:P$20,'IFC_Pre-sector Adj'!$A$3:$A$20,$A13,'IFC_Pre-sector Adj'!$B$3:$B$20,$B13)</f>
        <v>9.5999999999999992E-3</v>
      </c>
      <c r="H13" s="66">
        <f>($E13+($F13*'IFC_Pre-sector Adj'!$B$25)+($G13*'IFC_Pre-sector Adj'!$B$26))/10^6</f>
        <v>3.8924799999999999E-6</v>
      </c>
    </row>
    <row r="14" spans="1:9" x14ac:dyDescent="0.25">
      <c r="A14" s="52" t="s">
        <v>13</v>
      </c>
      <c r="B14" s="52" t="s">
        <v>24</v>
      </c>
      <c r="C14" s="52">
        <v>2023</v>
      </c>
      <c r="D14" s="52" t="s">
        <v>10</v>
      </c>
      <c r="E14" s="60">
        <f>SUMIFS('IFC_Pre-sector Adj'!N$3:N$20,'IFC_Pre-sector Adj'!$A$3:$A$20,$A14,'IFC_Pre-sector Adj'!$B$3:$B$20,$B14)</f>
        <v>0</v>
      </c>
      <c r="F14" s="60">
        <f>SUMIFS('IFC_Pre-sector Adj'!O$3:O$20,'IFC_Pre-sector Adj'!$A$3:$A$20,$A14,'IFC_Pre-sector Adj'!$B$3:$B$20,$B14)</f>
        <v>0</v>
      </c>
      <c r="G14" s="60">
        <f>SUMIFS('IFC_Pre-sector Adj'!P$3:P$20,'IFC_Pre-sector Adj'!$A$3:$A$20,$A14,'IFC_Pre-sector Adj'!$B$3:$B$20,$B14)</f>
        <v>0</v>
      </c>
      <c r="H14" s="61">
        <f>($E14+($F14*'IFC_Pre-sector Adj'!$B$25)+($G14*'IFC_Pre-sector Adj'!$B$26))/10^6</f>
        <v>0</v>
      </c>
    </row>
    <row r="15" spans="1:9" x14ac:dyDescent="0.25">
      <c r="A15" s="2" t="s">
        <v>13</v>
      </c>
      <c r="B15" s="2" t="s">
        <v>25</v>
      </c>
      <c r="C15" s="2">
        <v>2023</v>
      </c>
      <c r="D15" s="2" t="s">
        <v>10</v>
      </c>
      <c r="E15" s="60">
        <f>SUMIFS('IFC_Pre-sector Adj'!N$3:N$20,'IFC_Pre-sector Adj'!$A$3:$A$20,$A15,'IFC_Pre-sector Adj'!$B$3:$B$20,$B15)</f>
        <v>193161.0355705728</v>
      </c>
      <c r="F15" s="60">
        <f>SUMIFS('IFC_Pre-sector Adj'!O$3:O$20,'IFC_Pre-sector Adj'!$A$3:$A$20,$A15,'IFC_Pre-sector Adj'!$B$3:$B$20,$B15)</f>
        <v>5.6949199999999998</v>
      </c>
      <c r="G15" s="60">
        <f>SUMIFS('IFC_Pre-sector Adj'!P$3:P$20,'IFC_Pre-sector Adj'!$A$3:$A$20,$A15,'IFC_Pre-sector Adj'!$B$3:$B$20,$B15)</f>
        <v>1.1352</v>
      </c>
      <c r="H15" s="61">
        <f>($E15+($F15*'IFC_Pre-sector Adj'!$B$25)+($G15*'IFC_Pre-sector Adj'!$B$26))/10^6</f>
        <v>0.1936213213305728</v>
      </c>
    </row>
    <row r="16" spans="1:9" x14ac:dyDescent="0.25">
      <c r="A16" s="2" t="s">
        <v>13</v>
      </c>
      <c r="B16" s="2" t="s">
        <v>26</v>
      </c>
      <c r="C16" s="2">
        <v>2023</v>
      </c>
      <c r="D16" s="2" t="s">
        <v>10</v>
      </c>
      <c r="E16" s="60">
        <f>SUMIFS('IFC_Pre-sector Adj'!N$3:N$20,'IFC_Pre-sector Adj'!$A$3:$A$20,$A16,'IFC_Pre-sector Adj'!$B$3:$B$20,$B16)</f>
        <v>56582.999999999993</v>
      </c>
      <c r="F16" s="60">
        <f>SUMIFS('IFC_Pre-sector Adj'!O$3:O$20,'IFC_Pre-sector Adj'!$A$3:$A$20,$A16,'IFC_Pre-sector Adj'!$B$3:$B$20,$B16)</f>
        <v>2.7090000000000001</v>
      </c>
      <c r="G16" s="60">
        <f>SUMIFS('IFC_Pre-sector Adj'!P$3:P$20,'IFC_Pre-sector Adj'!$A$3:$A$20,$A16,'IFC_Pre-sector Adj'!$B$3:$B$20,$B16)</f>
        <v>0.53999999999999992</v>
      </c>
      <c r="H16" s="61">
        <f>($E16+($F16*'IFC_Pre-sector Adj'!$B$25)+($G16*'IFC_Pre-sector Adj'!$B$26))/10^6</f>
        <v>5.6801951999999989E-2</v>
      </c>
    </row>
    <row r="17" spans="1:13" x14ac:dyDescent="0.25">
      <c r="A17" s="2" t="s">
        <v>13</v>
      </c>
      <c r="B17" s="2" t="s">
        <v>27</v>
      </c>
      <c r="C17" s="2">
        <v>2023</v>
      </c>
      <c r="D17" s="2" t="s">
        <v>10</v>
      </c>
      <c r="E17" s="60">
        <f>SUMIFS('IFC_Pre-sector Adj'!N$3:N$20,'IFC_Pre-sector Adj'!$A$3:$A$20,$A17,'IFC_Pre-sector Adj'!$B$3:$B$20,$B17)</f>
        <v>549681.8302724252</v>
      </c>
      <c r="F17" s="60">
        <f>SUMIFS('IFC_Pre-sector Adj'!O$3:O$20,'IFC_Pre-sector Adj'!$A$3:$A$20,$A17,'IFC_Pre-sector Adj'!$B$3:$B$20,$B17)</f>
        <v>27.661899999999999</v>
      </c>
      <c r="G17" s="60">
        <f>SUMIFS('IFC_Pre-sector Adj'!P$3:P$20,'IFC_Pre-sector Adj'!$A$3:$A$20,$A17,'IFC_Pre-sector Adj'!$B$3:$B$20,$B17)</f>
        <v>5.5139999999999993</v>
      </c>
      <c r="H17" s="61">
        <f>($E17+($F17*'IFC_Pre-sector Adj'!$B$25)+($G17*'IFC_Pre-sector Adj'!$B$26))/10^6</f>
        <v>0.55191757347242509</v>
      </c>
    </row>
    <row r="18" spans="1:13" x14ac:dyDescent="0.25">
      <c r="A18" s="2" t="s">
        <v>13</v>
      </c>
      <c r="B18" s="2" t="s">
        <v>28</v>
      </c>
      <c r="C18" s="2">
        <v>2023</v>
      </c>
      <c r="D18" s="2" t="s">
        <v>10</v>
      </c>
      <c r="E18" s="60">
        <f>SUMIFS('IFC_Pre-sector Adj'!N$3:N$20,'IFC_Pre-sector Adj'!$A$3:$A$20,$A18,'IFC_Pre-sector Adj'!$B$3:$B$20,$B18)</f>
        <v>0</v>
      </c>
      <c r="F18" s="67">
        <f>SUMIFS('IFC_Pre-sector Adj'!O$3:O$20,'IFC_Pre-sector Adj'!$A$3:$A$20,$A18,'IFC_Pre-sector Adj'!$B$3:$B$20,$B18)</f>
        <v>5.4179999999999999E-2</v>
      </c>
      <c r="G18" s="63">
        <f>SUMIFS('IFC_Pre-sector Adj'!P$3:P$20,'IFC_Pre-sector Adj'!$A$3:$A$20,$A18,'IFC_Pre-sector Adj'!$B$3:$B$20,$B18)</f>
        <v>1.0799999999999999E-2</v>
      </c>
      <c r="H18" s="66">
        <f>($E18+($F18*'IFC_Pre-sector Adj'!$B$25)+($G18*'IFC_Pre-sector Adj'!$B$26))/10^6</f>
        <v>4.3790400000000002E-6</v>
      </c>
    </row>
    <row r="19" spans="1:13" x14ac:dyDescent="0.25">
      <c r="A19" s="2" t="s">
        <v>29</v>
      </c>
      <c r="B19" s="2" t="s">
        <v>29</v>
      </c>
      <c r="C19" s="2">
        <v>2023</v>
      </c>
      <c r="D19" s="2" t="s">
        <v>10</v>
      </c>
      <c r="E19" s="60">
        <f>SUMIFS('IFC_Pre-sector Adj'!N$3:N$20,'IFC_Pre-sector Adj'!$A$3:$A$20,$A19,'IFC_Pre-sector Adj'!$B$3:$B$20,$B19)</f>
        <v>0</v>
      </c>
      <c r="F19" s="67">
        <f>SUMIFS('IFC_Pre-sector Adj'!O$3:O$20,'IFC_Pre-sector Adj'!$A$3:$A$20,$A19,'IFC_Pre-sector Adj'!$B$3:$B$20,$B19)</f>
        <v>0.17094000000000001</v>
      </c>
      <c r="G19" s="63">
        <f>SUMIFS('IFC_Pre-sector Adj'!P$3:P$20,'IFC_Pre-sector Adj'!$A$3:$A$20,$A19,'IFC_Pre-sector Adj'!$B$3:$B$20,$B19)</f>
        <v>2.2800000000000001E-2</v>
      </c>
      <c r="H19" s="68">
        <f>($E19+($F19*'IFC_Pre-sector Adj'!$B$25)+($G19*'IFC_Pre-sector Adj'!$B$26))/10^6</f>
        <v>1.0828319999999999E-5</v>
      </c>
    </row>
    <row r="20" spans="1:13" x14ac:dyDescent="0.25">
      <c r="A20" s="10" t="s">
        <v>30</v>
      </c>
      <c r="B20" s="10" t="s">
        <v>30</v>
      </c>
      <c r="C20" s="10">
        <v>2023</v>
      </c>
      <c r="D20" s="10" t="s">
        <v>10</v>
      </c>
      <c r="E20" s="69">
        <f>SUM(E4:E19)</f>
        <v>1583532.2985431445</v>
      </c>
      <c r="F20" s="70">
        <f t="shared" ref="F20:G20" si="0">SUM(F4:F19)</f>
        <v>115.0316820436679</v>
      </c>
      <c r="G20" s="70">
        <f t="shared" si="0"/>
        <v>24.985428388625817</v>
      </c>
      <c r="H20" s="371">
        <f>SUM(H4:H19)</f>
        <v>1.5933743241633529</v>
      </c>
      <c r="K20" s="16"/>
    </row>
    <row r="21" spans="1:13" x14ac:dyDescent="0.25">
      <c r="D21" s="73"/>
      <c r="E21" s="74"/>
      <c r="F21" s="75"/>
      <c r="G21" s="75"/>
      <c r="H21" s="76"/>
      <c r="K21" s="71"/>
      <c r="L21" s="5"/>
      <c r="M21" s="71"/>
    </row>
    <row r="22" spans="1:13" x14ac:dyDescent="0.25">
      <c r="A22" t="s">
        <v>31</v>
      </c>
    </row>
    <row r="23" spans="1:13" x14ac:dyDescent="0.25">
      <c r="A23" t="s">
        <v>1458</v>
      </c>
    </row>
    <row r="24" spans="1:13" x14ac:dyDescent="0.25">
      <c r="A24" s="1" t="s">
        <v>1</v>
      </c>
      <c r="B24" s="1" t="s">
        <v>8</v>
      </c>
      <c r="E24" s="101"/>
      <c r="F24" s="101"/>
      <c r="G24" s="101"/>
      <c r="H24" s="101"/>
    </row>
    <row r="25" spans="1:13" x14ac:dyDescent="0.25">
      <c r="A25" t="s">
        <v>9</v>
      </c>
      <c r="B25" s="71">
        <f>H4</f>
        <v>0.13404770318339865</v>
      </c>
      <c r="E25" s="101"/>
      <c r="F25" s="101"/>
      <c r="G25" s="101"/>
      <c r="H25" s="101"/>
    </row>
    <row r="26" spans="1:13" x14ac:dyDescent="0.25">
      <c r="A26" t="s">
        <v>11</v>
      </c>
      <c r="B26" s="71">
        <f>H5</f>
        <v>0.5207688527935157</v>
      </c>
    </row>
    <row r="27" spans="1:13" x14ac:dyDescent="0.25">
      <c r="A27" t="s">
        <v>13</v>
      </c>
      <c r="B27" s="406">
        <f>SUM(H6:H18)</f>
        <v>0.93854693986643856</v>
      </c>
    </row>
    <row r="28" spans="1:13" x14ac:dyDescent="0.25">
      <c r="A28" t="s">
        <v>29</v>
      </c>
      <c r="B28" s="407">
        <f>H19</f>
        <v>1.0828319999999999E-5</v>
      </c>
    </row>
    <row r="29" spans="1:13" x14ac:dyDescent="0.25">
      <c r="A29" s="1" t="s">
        <v>30</v>
      </c>
      <c r="B29" s="408">
        <f>SUM(B25:B28)</f>
        <v>1.5933743241633529</v>
      </c>
    </row>
  </sheetData>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2E995-D5BB-4B8E-89B4-B01226078231}">
  <sheetPr>
    <tabColor rgb="FFD45EC6"/>
  </sheetPr>
  <dimension ref="A1:S33"/>
  <sheetViews>
    <sheetView topLeftCell="A3" workbookViewId="0">
      <selection activeCell="D21" sqref="D21"/>
    </sheetView>
  </sheetViews>
  <sheetFormatPr defaultRowHeight="15" x14ac:dyDescent="0.25"/>
  <cols>
    <col min="1" max="1" width="15.42578125" customWidth="1"/>
    <col min="2" max="3" width="11.85546875" bestFit="1" customWidth="1"/>
    <col min="4" max="4" width="10.7109375" bestFit="1" customWidth="1"/>
    <col min="5" max="5" width="32.28515625" bestFit="1" customWidth="1"/>
    <col min="7" max="7" width="16.5703125" bestFit="1" customWidth="1"/>
  </cols>
  <sheetData>
    <row r="1" spans="1:19" ht="18.75" x14ac:dyDescent="0.3">
      <c r="A1" s="102" t="s">
        <v>0</v>
      </c>
    </row>
    <row r="3" spans="1:19" x14ac:dyDescent="0.25">
      <c r="A3" s="9" t="s">
        <v>32</v>
      </c>
    </row>
    <row r="4" spans="1:19" ht="14.45" customHeight="1" x14ac:dyDescent="0.25">
      <c r="A4" s="421" t="s">
        <v>33</v>
      </c>
      <c r="B4" s="421"/>
      <c r="C4" s="421"/>
      <c r="D4" s="421"/>
      <c r="E4" s="421"/>
      <c r="F4" s="421"/>
      <c r="G4" s="421"/>
      <c r="H4" s="421"/>
      <c r="I4" s="421"/>
      <c r="J4" s="421"/>
      <c r="K4" s="421"/>
      <c r="L4" s="421"/>
      <c r="M4" s="421"/>
      <c r="N4" s="421"/>
      <c r="O4" s="421"/>
      <c r="P4" s="421"/>
      <c r="Q4" s="93"/>
      <c r="R4" s="93"/>
      <c r="S4" s="93"/>
    </row>
    <row r="5" spans="1:19" x14ac:dyDescent="0.25">
      <c r="A5" s="421"/>
      <c r="B5" s="421"/>
      <c r="C5" s="421"/>
      <c r="D5" s="421"/>
      <c r="E5" s="421"/>
      <c r="F5" s="421"/>
      <c r="G5" s="421"/>
      <c r="H5" s="421"/>
      <c r="I5" s="421"/>
      <c r="J5" s="421"/>
      <c r="K5" s="421"/>
      <c r="L5" s="421"/>
      <c r="M5" s="421"/>
      <c r="N5" s="421"/>
      <c r="O5" s="421"/>
      <c r="P5" s="421"/>
      <c r="Q5" s="93"/>
      <c r="R5" s="93"/>
      <c r="S5" s="93"/>
    </row>
    <row r="6" spans="1:19" x14ac:dyDescent="0.25">
      <c r="A6" s="421"/>
      <c r="B6" s="421"/>
      <c r="C6" s="421"/>
      <c r="D6" s="421"/>
      <c r="E6" s="421"/>
      <c r="F6" s="421"/>
      <c r="G6" s="421"/>
      <c r="H6" s="421"/>
      <c r="I6" s="421"/>
      <c r="J6" s="421"/>
      <c r="K6" s="421"/>
      <c r="L6" s="421"/>
      <c r="M6" s="421"/>
      <c r="N6" s="421"/>
      <c r="O6" s="421"/>
      <c r="P6" s="421"/>
      <c r="Q6" s="93"/>
      <c r="R6" s="93"/>
      <c r="S6" s="93"/>
    </row>
    <row r="7" spans="1:19" x14ac:dyDescent="0.25">
      <c r="A7" t="s">
        <v>1455</v>
      </c>
    </row>
    <row r="8" spans="1:19" ht="15.75" thickBot="1" x14ac:dyDescent="0.3"/>
    <row r="9" spans="1:19" x14ac:dyDescent="0.25">
      <c r="A9" s="83"/>
      <c r="B9" s="84" t="s">
        <v>34</v>
      </c>
      <c r="C9" s="85" t="s">
        <v>34</v>
      </c>
    </row>
    <row r="10" spans="1:19" x14ac:dyDescent="0.25">
      <c r="A10" s="86" t="s">
        <v>35</v>
      </c>
      <c r="B10" s="20" t="s">
        <v>36</v>
      </c>
      <c r="C10" s="87" t="s">
        <v>37</v>
      </c>
    </row>
    <row r="11" spans="1:19" x14ac:dyDescent="0.25">
      <c r="A11" s="86" t="s">
        <v>38</v>
      </c>
      <c r="B11" s="88">
        <f>'Nonroad Adjustment'!I32</f>
        <v>80957.676952303475</v>
      </c>
      <c r="C11" s="89">
        <f>'Nonroad Adjustment'!I36</f>
        <v>56.507686397548881</v>
      </c>
    </row>
    <row r="12" spans="1:19" ht="15.75" thickBot="1" x14ac:dyDescent="0.3">
      <c r="A12" s="90" t="s">
        <v>15</v>
      </c>
      <c r="B12" s="91">
        <f>'Nonroad Adjustment'!I33</f>
        <v>859142.65326953097</v>
      </c>
      <c r="C12" s="92">
        <f>'Nonroad Adjustment'!I37</f>
        <v>10.7990651382827</v>
      </c>
    </row>
    <row r="13" spans="1:19" ht="15.75" thickBot="1" x14ac:dyDescent="0.3">
      <c r="A13" s="97"/>
      <c r="B13" s="97"/>
      <c r="C13" s="97"/>
      <c r="D13" s="97"/>
      <c r="E13" s="97"/>
      <c r="F13" s="97"/>
      <c r="G13" s="97"/>
      <c r="H13" s="97"/>
      <c r="I13" s="97"/>
      <c r="J13" s="97"/>
      <c r="K13" s="97"/>
      <c r="L13" s="97"/>
      <c r="M13" s="97"/>
      <c r="N13" s="97"/>
      <c r="O13" s="97"/>
      <c r="P13" s="97"/>
      <c r="Q13" s="97"/>
    </row>
    <row r="14" spans="1:19" x14ac:dyDescent="0.25">
      <c r="A14" s="9" t="s">
        <v>39</v>
      </c>
    </row>
    <row r="15" spans="1:19" x14ac:dyDescent="0.25">
      <c r="A15" t="s">
        <v>40</v>
      </c>
    </row>
    <row r="16" spans="1:19" x14ac:dyDescent="0.25">
      <c r="A16" t="s">
        <v>41</v>
      </c>
    </row>
    <row r="18" spans="1:17" ht="75" x14ac:dyDescent="0.25">
      <c r="A18" s="3" t="s">
        <v>42</v>
      </c>
      <c r="B18" s="3" t="s">
        <v>43</v>
      </c>
      <c r="C18" s="3" t="s">
        <v>44</v>
      </c>
      <c r="D18" s="3" t="s">
        <v>45</v>
      </c>
      <c r="E18" s="3" t="s">
        <v>46</v>
      </c>
      <c r="F18" s="3" t="s">
        <v>47</v>
      </c>
      <c r="G18" s="3" t="s">
        <v>48</v>
      </c>
      <c r="H18" s="3" t="s">
        <v>49</v>
      </c>
      <c r="I18" s="3" t="s">
        <v>50</v>
      </c>
      <c r="J18" s="3" t="s">
        <v>51</v>
      </c>
      <c r="K18" s="3" t="s">
        <v>52</v>
      </c>
      <c r="L18" s="3" t="s">
        <v>53</v>
      </c>
      <c r="M18" s="3" t="s">
        <v>54</v>
      </c>
    </row>
    <row r="19" spans="1:17" x14ac:dyDescent="0.25">
      <c r="A19">
        <v>8400</v>
      </c>
      <c r="B19">
        <v>2023</v>
      </c>
      <c r="C19" t="s">
        <v>10</v>
      </c>
      <c r="D19" t="s">
        <v>55</v>
      </c>
      <c r="E19" t="s">
        <v>56</v>
      </c>
      <c r="F19">
        <v>3670</v>
      </c>
      <c r="G19" s="81" t="s">
        <v>57</v>
      </c>
      <c r="H19">
        <v>2</v>
      </c>
      <c r="I19">
        <v>2</v>
      </c>
      <c r="J19" s="81" t="s">
        <v>58</v>
      </c>
      <c r="K19">
        <v>48201.254000000001</v>
      </c>
      <c r="L19">
        <v>1818.2329999999999</v>
      </c>
      <c r="M19">
        <v>181.44200000000001</v>
      </c>
    </row>
    <row r="20" spans="1:17" ht="15.75" thickBot="1" x14ac:dyDescent="0.3"/>
    <row r="21" spans="1:17" x14ac:dyDescent="0.25">
      <c r="A21" s="83" t="s">
        <v>59</v>
      </c>
      <c r="B21" s="94">
        <f>$K$19*$B$25</f>
        <v>43727.454609990004</v>
      </c>
    </row>
    <row r="22" spans="1:17" x14ac:dyDescent="0.25">
      <c r="A22" s="86" t="s">
        <v>60</v>
      </c>
      <c r="B22" s="95">
        <f>($L$19/2000)*$B$25</f>
        <v>0.82473685205250002</v>
      </c>
    </row>
    <row r="23" spans="1:17" ht="15.75" thickBot="1" x14ac:dyDescent="0.3">
      <c r="A23" s="90" t="s">
        <v>61</v>
      </c>
      <c r="B23" s="96">
        <f>($M$19/2000)*$B$25</f>
        <v>8.2300730385000007E-2</v>
      </c>
    </row>
    <row r="25" spans="1:17" x14ac:dyDescent="0.25">
      <c r="A25" t="s">
        <v>62</v>
      </c>
      <c r="B25">
        <v>0.90718500000000002</v>
      </c>
      <c r="C25" t="s">
        <v>63</v>
      </c>
    </row>
    <row r="26" spans="1:17" ht="15.75" thickBot="1" x14ac:dyDescent="0.3">
      <c r="A26" s="97"/>
      <c r="B26" s="97"/>
      <c r="C26" s="97"/>
      <c r="D26" s="97"/>
      <c r="E26" s="97"/>
      <c r="F26" s="97"/>
      <c r="G26" s="97"/>
      <c r="H26" s="97"/>
      <c r="I26" s="97"/>
      <c r="J26" s="97"/>
      <c r="K26" s="97"/>
      <c r="L26" s="97"/>
      <c r="M26" s="97"/>
      <c r="N26" s="97"/>
      <c r="O26" s="97"/>
      <c r="P26" s="97"/>
      <c r="Q26" s="97"/>
    </row>
    <row r="27" spans="1:17" x14ac:dyDescent="0.25">
      <c r="A27" s="9" t="s">
        <v>64</v>
      </c>
    </row>
    <row r="28" spans="1:17" x14ac:dyDescent="0.25">
      <c r="A28" t="s">
        <v>65</v>
      </c>
    </row>
    <row r="29" spans="1:17" ht="15.75" thickBot="1" x14ac:dyDescent="0.3"/>
    <row r="30" spans="1:17" x14ac:dyDescent="0.25">
      <c r="A30" s="83" t="s">
        <v>66</v>
      </c>
      <c r="B30" s="84" t="s">
        <v>67</v>
      </c>
      <c r="C30" s="85" t="s">
        <v>60</v>
      </c>
    </row>
    <row r="31" spans="1:17" ht="15.75" thickBot="1" x14ac:dyDescent="0.3">
      <c r="A31" s="90" t="s">
        <v>38</v>
      </c>
      <c r="B31" s="98">
        <v>22450.323496189973</v>
      </c>
      <c r="C31" s="99">
        <v>0</v>
      </c>
    </row>
    <row r="33" spans="1:17" ht="15.75" thickBot="1" x14ac:dyDescent="0.3">
      <c r="A33" s="97"/>
      <c r="B33" s="97"/>
      <c r="C33" s="97"/>
      <c r="D33" s="97"/>
      <c r="E33" s="97"/>
      <c r="F33" s="97"/>
      <c r="G33" s="97"/>
      <c r="H33" s="97"/>
      <c r="I33" s="97"/>
      <c r="J33" s="97"/>
      <c r="K33" s="97"/>
      <c r="L33" s="97"/>
      <c r="M33" s="97"/>
      <c r="N33" s="97"/>
      <c r="O33" s="97"/>
      <c r="P33" s="97"/>
      <c r="Q33" s="97"/>
    </row>
  </sheetData>
  <mergeCells count="1">
    <mergeCell ref="A4:P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A9EDC-2E3B-4A10-BA25-F06A8584C6A1}">
  <sheetPr>
    <tabColor rgb="FFD45EC6"/>
  </sheetPr>
  <dimension ref="A1:AS99"/>
  <sheetViews>
    <sheetView workbookViewId="0">
      <selection activeCell="AJ6" sqref="AJ6"/>
    </sheetView>
  </sheetViews>
  <sheetFormatPr defaultRowHeight="15" x14ac:dyDescent="0.25"/>
  <cols>
    <col min="8" max="8" width="16.85546875" customWidth="1"/>
    <col min="9" max="9" width="10.5703125" customWidth="1"/>
    <col min="32" max="32" width="16" customWidth="1"/>
  </cols>
  <sheetData>
    <row r="1" spans="1:45" x14ac:dyDescent="0.25">
      <c r="A1" t="s">
        <v>1387</v>
      </c>
      <c r="Y1" s="1" t="s">
        <v>1452</v>
      </c>
      <c r="AJ1" s="1" t="s">
        <v>1451</v>
      </c>
    </row>
    <row r="2" spans="1:45" x14ac:dyDescent="0.25">
      <c r="A2" s="409" t="s">
        <v>1388</v>
      </c>
      <c r="Y2" t="s">
        <v>1439</v>
      </c>
      <c r="Z2" t="s">
        <v>1440</v>
      </c>
      <c r="AA2" t="s">
        <v>1441</v>
      </c>
      <c r="AB2" t="s">
        <v>1442</v>
      </c>
      <c r="AC2" t="s">
        <v>1443</v>
      </c>
      <c r="AD2" t="s">
        <v>1444</v>
      </c>
      <c r="AE2" t="s">
        <v>1194</v>
      </c>
      <c r="AF2" t="s">
        <v>1445</v>
      </c>
      <c r="AG2" t="s">
        <v>1446</v>
      </c>
      <c r="AH2" t="s">
        <v>1447</v>
      </c>
      <c r="AJ2" t="s">
        <v>1439</v>
      </c>
      <c r="AK2" t="s">
        <v>1440</v>
      </c>
      <c r="AL2" t="s">
        <v>1441</v>
      </c>
      <c r="AM2" t="s">
        <v>1442</v>
      </c>
      <c r="AN2" t="s">
        <v>1443</v>
      </c>
      <c r="AO2" t="s">
        <v>1444</v>
      </c>
      <c r="AP2" t="s">
        <v>1194</v>
      </c>
      <c r="AQ2" t="s">
        <v>1453</v>
      </c>
      <c r="AR2" t="s">
        <v>1446</v>
      </c>
      <c r="AS2" t="s">
        <v>1454</v>
      </c>
    </row>
    <row r="3" spans="1:45" x14ac:dyDescent="0.25">
      <c r="Y3">
        <v>2023</v>
      </c>
      <c r="Z3">
        <v>35</v>
      </c>
      <c r="AA3">
        <v>90</v>
      </c>
      <c r="AB3">
        <v>1</v>
      </c>
      <c r="AC3" t="s">
        <v>1158</v>
      </c>
      <c r="AD3">
        <v>1</v>
      </c>
      <c r="AE3" t="s">
        <v>534</v>
      </c>
      <c r="AF3" s="27">
        <v>24401051824.698299</v>
      </c>
      <c r="AG3" t="s">
        <v>1448</v>
      </c>
      <c r="AH3">
        <v>2.4401051824698299E-2</v>
      </c>
      <c r="AJ3">
        <v>2023</v>
      </c>
      <c r="AK3">
        <v>35</v>
      </c>
      <c r="AL3">
        <v>5</v>
      </c>
      <c r="AM3">
        <v>1</v>
      </c>
      <c r="AN3" t="s">
        <v>1158</v>
      </c>
      <c r="AO3">
        <v>1</v>
      </c>
      <c r="AP3" t="s">
        <v>534</v>
      </c>
      <c r="AQ3">
        <v>28359489.707259499</v>
      </c>
      <c r="AR3" t="s">
        <v>1448</v>
      </c>
      <c r="AS3">
        <v>2.8359489707259499E-5</v>
      </c>
    </row>
    <row r="4" spans="1:45" x14ac:dyDescent="0.25">
      <c r="A4" t="s">
        <v>1389</v>
      </c>
      <c r="Y4">
        <v>2023</v>
      </c>
      <c r="Z4">
        <v>35</v>
      </c>
      <c r="AA4">
        <v>90</v>
      </c>
      <c r="AB4">
        <v>1</v>
      </c>
      <c r="AC4" t="s">
        <v>1158</v>
      </c>
      <c r="AD4">
        <v>2</v>
      </c>
      <c r="AE4" t="s">
        <v>527</v>
      </c>
      <c r="AF4" s="27">
        <v>20815955498.696602</v>
      </c>
      <c r="AG4" t="s">
        <v>1448</v>
      </c>
      <c r="AH4">
        <v>2.0815955498696602E-2</v>
      </c>
      <c r="AJ4">
        <v>2023</v>
      </c>
      <c r="AK4">
        <v>35</v>
      </c>
      <c r="AL4">
        <v>5</v>
      </c>
      <c r="AM4">
        <v>1</v>
      </c>
      <c r="AN4" t="s">
        <v>1158</v>
      </c>
      <c r="AO4">
        <v>2</v>
      </c>
      <c r="AP4" t="s">
        <v>527</v>
      </c>
      <c r="AQ4">
        <v>15825874.966109799</v>
      </c>
      <c r="AR4" t="s">
        <v>1448</v>
      </c>
      <c r="AS4">
        <v>1.58258749661098E-5</v>
      </c>
    </row>
    <row r="5" spans="1:45" x14ac:dyDescent="0.25">
      <c r="A5" s="409" t="s">
        <v>1390</v>
      </c>
      <c r="Y5">
        <v>2023</v>
      </c>
      <c r="Z5">
        <v>35</v>
      </c>
      <c r="AA5">
        <v>90</v>
      </c>
      <c r="AB5">
        <v>1</v>
      </c>
      <c r="AC5" t="s">
        <v>1158</v>
      </c>
      <c r="AD5">
        <v>3</v>
      </c>
      <c r="AE5" t="s">
        <v>528</v>
      </c>
      <c r="AF5" s="27">
        <v>5266018892.1842299</v>
      </c>
      <c r="AG5" t="s">
        <v>1448</v>
      </c>
      <c r="AH5">
        <v>5.2660188921842301E-3</v>
      </c>
      <c r="AJ5">
        <v>2023</v>
      </c>
      <c r="AK5">
        <v>35</v>
      </c>
      <c r="AL5">
        <v>5</v>
      </c>
      <c r="AM5">
        <v>1</v>
      </c>
      <c r="AN5" t="s">
        <v>1158</v>
      </c>
      <c r="AO5">
        <v>3</v>
      </c>
      <c r="AP5" t="s">
        <v>528</v>
      </c>
      <c r="AQ5">
        <v>1488360.48403405</v>
      </c>
      <c r="AR5" t="s">
        <v>1448</v>
      </c>
      <c r="AS5">
        <v>1.4883604840340501E-6</v>
      </c>
    </row>
    <row r="6" spans="1:45" x14ac:dyDescent="0.25">
      <c r="A6" t="s">
        <v>1391</v>
      </c>
      <c r="Y6">
        <v>2023</v>
      </c>
      <c r="Z6">
        <v>35</v>
      </c>
      <c r="AA6">
        <v>90</v>
      </c>
      <c r="AB6">
        <v>1</v>
      </c>
      <c r="AC6" t="s">
        <v>1158</v>
      </c>
      <c r="AD6">
        <v>4</v>
      </c>
      <c r="AE6" t="s">
        <v>529</v>
      </c>
      <c r="AF6" s="27">
        <v>130228409624.96899</v>
      </c>
      <c r="AG6" t="s">
        <v>1448</v>
      </c>
      <c r="AH6">
        <v>0.13022840962496898</v>
      </c>
      <c r="AJ6">
        <v>2023</v>
      </c>
      <c r="AK6">
        <v>35</v>
      </c>
      <c r="AL6">
        <v>5</v>
      </c>
      <c r="AM6">
        <v>1</v>
      </c>
      <c r="AN6" t="s">
        <v>1158</v>
      </c>
      <c r="AO6">
        <v>4</v>
      </c>
      <c r="AP6" t="s">
        <v>529</v>
      </c>
      <c r="AQ6">
        <v>106608538.86881199</v>
      </c>
      <c r="AR6" t="s">
        <v>1448</v>
      </c>
      <c r="AS6">
        <v>1.0660853886881199E-4</v>
      </c>
    </row>
    <row r="7" spans="1:45" x14ac:dyDescent="0.25">
      <c r="A7" t="s">
        <v>1392</v>
      </c>
      <c r="Y7">
        <v>2023</v>
      </c>
      <c r="Z7">
        <v>35</v>
      </c>
      <c r="AA7">
        <v>90</v>
      </c>
      <c r="AB7">
        <v>1</v>
      </c>
      <c r="AC7" t="s">
        <v>1158</v>
      </c>
      <c r="AD7">
        <v>5</v>
      </c>
      <c r="AE7" t="s">
        <v>525</v>
      </c>
      <c r="AF7" s="27">
        <v>1754428213.9616399</v>
      </c>
      <c r="AG7" t="s">
        <v>1448</v>
      </c>
      <c r="AH7">
        <v>1.7544282139616398E-3</v>
      </c>
      <c r="AJ7">
        <v>2023</v>
      </c>
      <c r="AK7">
        <v>35</v>
      </c>
      <c r="AL7">
        <v>5</v>
      </c>
      <c r="AM7">
        <v>1</v>
      </c>
      <c r="AN7" t="s">
        <v>1158</v>
      </c>
      <c r="AO7">
        <v>5</v>
      </c>
      <c r="AP7" t="s">
        <v>525</v>
      </c>
      <c r="AQ7">
        <v>1862570.3510551699</v>
      </c>
      <c r="AR7" t="s">
        <v>1448</v>
      </c>
      <c r="AS7">
        <v>1.8625703510551699E-6</v>
      </c>
    </row>
    <row r="8" spans="1:45" x14ac:dyDescent="0.25">
      <c r="A8" t="s">
        <v>1393</v>
      </c>
      <c r="Y8">
        <v>2023</v>
      </c>
      <c r="Z8">
        <v>35</v>
      </c>
      <c r="AA8">
        <v>90</v>
      </c>
      <c r="AB8">
        <v>1</v>
      </c>
      <c r="AC8" t="s">
        <v>1158</v>
      </c>
      <c r="AD8">
        <v>6</v>
      </c>
      <c r="AE8" t="s">
        <v>66</v>
      </c>
      <c r="AF8" s="27">
        <v>43350361994.0578</v>
      </c>
      <c r="AG8" t="s">
        <v>1448</v>
      </c>
      <c r="AH8">
        <v>4.3350361994057798E-2</v>
      </c>
      <c r="AJ8">
        <v>2023</v>
      </c>
      <c r="AK8">
        <v>35</v>
      </c>
      <c r="AL8">
        <v>5</v>
      </c>
      <c r="AM8">
        <v>1</v>
      </c>
      <c r="AN8" t="s">
        <v>1158</v>
      </c>
      <c r="AO8">
        <v>6</v>
      </c>
      <c r="AP8" t="s">
        <v>66</v>
      </c>
      <c r="AQ8">
        <v>29399867.1448141</v>
      </c>
      <c r="AR8" t="s">
        <v>1448</v>
      </c>
      <c r="AS8">
        <v>2.9399867144814102E-5</v>
      </c>
    </row>
    <row r="9" spans="1:45" x14ac:dyDescent="0.25">
      <c r="A9" t="s">
        <v>1394</v>
      </c>
      <c r="Y9">
        <v>2023</v>
      </c>
      <c r="Z9">
        <v>35</v>
      </c>
      <c r="AA9">
        <v>90</v>
      </c>
      <c r="AB9">
        <v>1</v>
      </c>
      <c r="AC9" t="s">
        <v>1158</v>
      </c>
      <c r="AD9">
        <v>7</v>
      </c>
      <c r="AE9" t="s">
        <v>530</v>
      </c>
      <c r="AF9" s="27">
        <v>14993747.668833399</v>
      </c>
      <c r="AG9" t="s">
        <v>1448</v>
      </c>
      <c r="AH9">
        <v>1.4993747668833399E-5</v>
      </c>
      <c r="AJ9">
        <v>2023</v>
      </c>
      <c r="AK9">
        <v>35</v>
      </c>
      <c r="AL9">
        <v>5</v>
      </c>
      <c r="AM9">
        <v>1</v>
      </c>
      <c r="AN9" t="s">
        <v>1158</v>
      </c>
      <c r="AO9">
        <v>7</v>
      </c>
      <c r="AP9" t="s">
        <v>530</v>
      </c>
      <c r="AQ9">
        <v>17194.733602109802</v>
      </c>
      <c r="AR9" t="s">
        <v>1448</v>
      </c>
      <c r="AS9">
        <v>1.7194733602109801E-8</v>
      </c>
    </row>
    <row r="10" spans="1:45" x14ac:dyDescent="0.25">
      <c r="Y10">
        <v>2023</v>
      </c>
      <c r="Z10">
        <v>35</v>
      </c>
      <c r="AA10">
        <v>90</v>
      </c>
      <c r="AB10">
        <v>1</v>
      </c>
      <c r="AC10" t="s">
        <v>1158</v>
      </c>
      <c r="AD10">
        <v>8</v>
      </c>
      <c r="AE10" t="s">
        <v>526</v>
      </c>
      <c r="AF10" s="27">
        <v>81384734.860187396</v>
      </c>
      <c r="AG10" t="s">
        <v>1448</v>
      </c>
      <c r="AH10">
        <v>8.1384734860187396E-5</v>
      </c>
      <c r="AJ10">
        <v>2023</v>
      </c>
      <c r="AK10">
        <v>35</v>
      </c>
      <c r="AL10">
        <v>5</v>
      </c>
      <c r="AM10">
        <v>1</v>
      </c>
      <c r="AN10" t="s">
        <v>1158</v>
      </c>
      <c r="AO10">
        <v>8</v>
      </c>
      <c r="AP10" t="s">
        <v>526</v>
      </c>
      <c r="AQ10">
        <v>23909.711494093001</v>
      </c>
      <c r="AR10" t="s">
        <v>1448</v>
      </c>
      <c r="AS10">
        <v>2.3909711494093E-8</v>
      </c>
    </row>
    <row r="11" spans="1:45" x14ac:dyDescent="0.25">
      <c r="A11" s="1" t="s">
        <v>1395</v>
      </c>
      <c r="Y11">
        <v>2023</v>
      </c>
      <c r="Z11">
        <v>35</v>
      </c>
      <c r="AA11">
        <v>90</v>
      </c>
      <c r="AB11">
        <v>1</v>
      </c>
      <c r="AC11" t="s">
        <v>1158</v>
      </c>
      <c r="AD11">
        <v>10</v>
      </c>
      <c r="AE11" t="s">
        <v>531</v>
      </c>
      <c r="AF11" s="27">
        <v>9755918605.7343693</v>
      </c>
      <c r="AG11" t="s">
        <v>1448</v>
      </c>
      <c r="AH11">
        <v>9.7559186057343695E-3</v>
      </c>
      <c r="AJ11">
        <v>2023</v>
      </c>
      <c r="AK11">
        <v>35</v>
      </c>
      <c r="AL11">
        <v>5</v>
      </c>
      <c r="AM11">
        <v>1</v>
      </c>
      <c r="AN11" t="s">
        <v>1158</v>
      </c>
      <c r="AO11">
        <v>10</v>
      </c>
      <c r="AP11" t="s">
        <v>531</v>
      </c>
      <c r="AQ11">
        <v>7913818.7179336501</v>
      </c>
      <c r="AR11" t="s">
        <v>1448</v>
      </c>
      <c r="AS11">
        <v>7.9138187179336501E-6</v>
      </c>
    </row>
    <row r="12" spans="1:45" x14ac:dyDescent="0.25">
      <c r="A12" t="s">
        <v>1396</v>
      </c>
      <c r="Y12">
        <v>2023</v>
      </c>
      <c r="Z12">
        <v>35</v>
      </c>
      <c r="AA12">
        <v>90</v>
      </c>
      <c r="AB12">
        <v>1</v>
      </c>
      <c r="AC12" t="s">
        <v>1158</v>
      </c>
      <c r="AD12">
        <v>11</v>
      </c>
      <c r="AE12" t="s">
        <v>532</v>
      </c>
      <c r="AF12" s="27">
        <v>37871945634.809502</v>
      </c>
      <c r="AG12" t="s">
        <v>1448</v>
      </c>
      <c r="AH12">
        <v>3.7871945634809501E-2</v>
      </c>
      <c r="AJ12">
        <v>2023</v>
      </c>
      <c r="AK12">
        <v>35</v>
      </c>
      <c r="AL12">
        <v>5</v>
      </c>
      <c r="AM12">
        <v>1</v>
      </c>
      <c r="AN12" t="s">
        <v>1158</v>
      </c>
      <c r="AO12">
        <v>11</v>
      </c>
      <c r="AP12" t="s">
        <v>532</v>
      </c>
      <c r="AQ12">
        <v>33965389.759549901</v>
      </c>
      <c r="AR12" t="s">
        <v>1448</v>
      </c>
      <c r="AS12">
        <v>3.3965389759549902E-5</v>
      </c>
    </row>
    <row r="13" spans="1:45" x14ac:dyDescent="0.25">
      <c r="A13" t="s">
        <v>1397</v>
      </c>
      <c r="Y13">
        <v>2023</v>
      </c>
      <c r="Z13">
        <v>35</v>
      </c>
      <c r="AA13">
        <v>90</v>
      </c>
      <c r="AB13">
        <v>1</v>
      </c>
      <c r="AC13" t="s">
        <v>1158</v>
      </c>
      <c r="AD13">
        <v>12</v>
      </c>
      <c r="AE13" t="s">
        <v>533</v>
      </c>
      <c r="AF13" s="27">
        <v>456093131.17220598</v>
      </c>
      <c r="AG13" t="s">
        <v>1448</v>
      </c>
      <c r="AH13">
        <v>4.5609313117220599E-4</v>
      </c>
      <c r="AJ13">
        <v>2023</v>
      </c>
      <c r="AK13">
        <v>35</v>
      </c>
      <c r="AL13">
        <v>5</v>
      </c>
      <c r="AM13">
        <v>1</v>
      </c>
      <c r="AN13" t="s">
        <v>1158</v>
      </c>
      <c r="AO13">
        <v>12</v>
      </c>
      <c r="AP13" t="s">
        <v>533</v>
      </c>
      <c r="AQ13">
        <v>296442.82634416199</v>
      </c>
      <c r="AR13" t="s">
        <v>1448</v>
      </c>
      <c r="AS13">
        <v>2.9644282634416199E-7</v>
      </c>
    </row>
    <row r="14" spans="1:45" x14ac:dyDescent="0.25">
      <c r="A14" t="s">
        <v>1398</v>
      </c>
      <c r="Y14">
        <v>2023</v>
      </c>
      <c r="Z14">
        <v>35</v>
      </c>
      <c r="AA14">
        <v>90</v>
      </c>
      <c r="AB14">
        <v>3</v>
      </c>
      <c r="AC14" t="s">
        <v>1449</v>
      </c>
      <c r="AD14">
        <v>2</v>
      </c>
      <c r="AE14" t="s">
        <v>527</v>
      </c>
      <c r="AF14" s="27">
        <v>6361063.3251679204</v>
      </c>
      <c r="AG14" t="s">
        <v>1448</v>
      </c>
      <c r="AH14">
        <v>6.3610633251679207E-6</v>
      </c>
      <c r="AJ14">
        <v>2023</v>
      </c>
      <c r="AK14">
        <v>35</v>
      </c>
      <c r="AL14">
        <v>5</v>
      </c>
      <c r="AM14">
        <v>3</v>
      </c>
      <c r="AN14" t="s">
        <v>1449</v>
      </c>
      <c r="AO14">
        <v>2</v>
      </c>
      <c r="AP14" t="s">
        <v>527</v>
      </c>
      <c r="AQ14">
        <v>41890.393152336103</v>
      </c>
      <c r="AR14" t="s">
        <v>1448</v>
      </c>
      <c r="AS14">
        <v>4.1890393152336106E-8</v>
      </c>
    </row>
    <row r="15" spans="1:45" x14ac:dyDescent="0.25">
      <c r="A15" t="s">
        <v>1399</v>
      </c>
      <c r="Y15">
        <v>2023</v>
      </c>
      <c r="Z15">
        <v>35</v>
      </c>
      <c r="AA15">
        <v>90</v>
      </c>
      <c r="AB15">
        <v>3</v>
      </c>
      <c r="AC15" t="s">
        <v>1449</v>
      </c>
      <c r="AD15">
        <v>3</v>
      </c>
      <c r="AE15" t="s">
        <v>528</v>
      </c>
      <c r="AF15" s="27">
        <v>2305705678.13064</v>
      </c>
      <c r="AG15" t="s">
        <v>1448</v>
      </c>
      <c r="AH15">
        <v>2.3057056781306401E-3</v>
      </c>
      <c r="AJ15">
        <v>2023</v>
      </c>
      <c r="AK15">
        <v>35</v>
      </c>
      <c r="AL15">
        <v>5</v>
      </c>
      <c r="AM15">
        <v>3</v>
      </c>
      <c r="AN15" t="s">
        <v>1449</v>
      </c>
      <c r="AO15">
        <v>3</v>
      </c>
      <c r="AP15" t="s">
        <v>528</v>
      </c>
      <c r="AQ15">
        <v>9118208.3981036898</v>
      </c>
      <c r="AR15" t="s">
        <v>1448</v>
      </c>
      <c r="AS15">
        <v>9.1182083981036899E-6</v>
      </c>
    </row>
    <row r="16" spans="1:45" x14ac:dyDescent="0.25">
      <c r="A16" t="s">
        <v>1400</v>
      </c>
      <c r="Y16">
        <v>2023</v>
      </c>
      <c r="Z16">
        <v>35</v>
      </c>
      <c r="AA16">
        <v>90</v>
      </c>
      <c r="AB16">
        <v>3</v>
      </c>
      <c r="AC16" t="s">
        <v>1449</v>
      </c>
      <c r="AD16">
        <v>5</v>
      </c>
      <c r="AE16" t="s">
        <v>525</v>
      </c>
      <c r="AF16" s="27">
        <v>217084349.35791501</v>
      </c>
      <c r="AG16" t="s">
        <v>1448</v>
      </c>
      <c r="AH16">
        <v>2.17084349357915E-4</v>
      </c>
      <c r="AJ16">
        <v>2023</v>
      </c>
      <c r="AK16">
        <v>35</v>
      </c>
      <c r="AL16">
        <v>5</v>
      </c>
      <c r="AM16">
        <v>3</v>
      </c>
      <c r="AN16" t="s">
        <v>1449</v>
      </c>
      <c r="AO16">
        <v>5</v>
      </c>
      <c r="AP16" t="s">
        <v>525</v>
      </c>
      <c r="AQ16">
        <v>1092404.3426170701</v>
      </c>
      <c r="AR16" t="s">
        <v>1448</v>
      </c>
      <c r="AS16">
        <v>1.0924043426170701E-6</v>
      </c>
    </row>
    <row r="17" spans="1:45" x14ac:dyDescent="0.25">
      <c r="A17" t="s">
        <v>1401</v>
      </c>
      <c r="Y17">
        <v>2023</v>
      </c>
      <c r="Z17">
        <v>35</v>
      </c>
      <c r="AA17">
        <v>90</v>
      </c>
      <c r="AB17">
        <v>3</v>
      </c>
      <c r="AC17" t="s">
        <v>1449</v>
      </c>
      <c r="AD17">
        <v>6</v>
      </c>
      <c r="AE17" t="s">
        <v>66</v>
      </c>
      <c r="AF17" s="27">
        <v>2191971619.95997</v>
      </c>
      <c r="AG17" t="s">
        <v>1448</v>
      </c>
      <c r="AH17">
        <v>2.1919716199599701E-3</v>
      </c>
      <c r="AJ17">
        <v>2023</v>
      </c>
      <c r="AK17">
        <v>35</v>
      </c>
      <c r="AL17">
        <v>5</v>
      </c>
      <c r="AM17">
        <v>3</v>
      </c>
      <c r="AN17" t="s">
        <v>1449</v>
      </c>
      <c r="AO17">
        <v>6</v>
      </c>
      <c r="AP17" t="s">
        <v>66</v>
      </c>
      <c r="AQ17">
        <v>18516697.069729902</v>
      </c>
      <c r="AR17" t="s">
        <v>1448</v>
      </c>
      <c r="AS17">
        <v>1.8516697069729901E-5</v>
      </c>
    </row>
    <row r="18" spans="1:45" x14ac:dyDescent="0.25">
      <c r="A18" t="s">
        <v>1402</v>
      </c>
      <c r="Y18">
        <v>2023</v>
      </c>
      <c r="Z18">
        <v>35</v>
      </c>
      <c r="AA18">
        <v>90</v>
      </c>
      <c r="AB18">
        <v>3</v>
      </c>
      <c r="AC18" t="s">
        <v>1449</v>
      </c>
      <c r="AD18">
        <v>10</v>
      </c>
      <c r="AE18" t="s">
        <v>531</v>
      </c>
      <c r="AF18" s="27">
        <v>6695073106.21875</v>
      </c>
      <c r="AG18" t="s">
        <v>1448</v>
      </c>
      <c r="AH18">
        <v>6.6950731062187501E-3</v>
      </c>
      <c r="AJ18">
        <v>2023</v>
      </c>
      <c r="AK18">
        <v>35</v>
      </c>
      <c r="AL18">
        <v>5</v>
      </c>
      <c r="AM18">
        <v>3</v>
      </c>
      <c r="AN18" t="s">
        <v>1449</v>
      </c>
      <c r="AO18">
        <v>10</v>
      </c>
      <c r="AP18" t="s">
        <v>531</v>
      </c>
      <c r="AQ18">
        <v>29268195.454742402</v>
      </c>
      <c r="AR18" t="s">
        <v>1448</v>
      </c>
      <c r="AS18">
        <v>2.9268195454742403E-5</v>
      </c>
    </row>
    <row r="19" spans="1:45" x14ac:dyDescent="0.25">
      <c r="Y19">
        <v>2023</v>
      </c>
      <c r="Z19">
        <v>35</v>
      </c>
      <c r="AA19">
        <v>90</v>
      </c>
      <c r="AB19">
        <v>4</v>
      </c>
      <c r="AC19" t="s">
        <v>1429</v>
      </c>
      <c r="AD19">
        <v>1</v>
      </c>
      <c r="AE19" t="s">
        <v>534</v>
      </c>
      <c r="AF19" s="27">
        <v>50761257.918457001</v>
      </c>
      <c r="AG19" t="s">
        <v>1448</v>
      </c>
      <c r="AH19">
        <v>5.0761257918457002E-5</v>
      </c>
      <c r="AJ19">
        <v>2023</v>
      </c>
      <c r="AK19">
        <v>35</v>
      </c>
      <c r="AL19">
        <v>5</v>
      </c>
      <c r="AM19">
        <v>4</v>
      </c>
      <c r="AN19" t="s">
        <v>1429</v>
      </c>
      <c r="AO19">
        <v>1</v>
      </c>
      <c r="AP19" t="s">
        <v>534</v>
      </c>
      <c r="AQ19">
        <v>17820.762803915299</v>
      </c>
      <c r="AR19" t="s">
        <v>1448</v>
      </c>
      <c r="AS19">
        <v>1.7820762803915299E-8</v>
      </c>
    </row>
    <row r="20" spans="1:45" x14ac:dyDescent="0.25">
      <c r="A20" s="1" t="s">
        <v>1403</v>
      </c>
      <c r="Y20">
        <v>2023</v>
      </c>
      <c r="Z20">
        <v>35</v>
      </c>
      <c r="AA20">
        <v>90</v>
      </c>
      <c r="AB20">
        <v>4</v>
      </c>
      <c r="AC20" t="s">
        <v>1429</v>
      </c>
      <c r="AD20">
        <v>2</v>
      </c>
      <c r="AE20" t="s">
        <v>527</v>
      </c>
      <c r="AF20" s="27">
        <v>2151426974.8859401</v>
      </c>
      <c r="AG20" t="s">
        <v>1448</v>
      </c>
      <c r="AH20">
        <v>2.1514269748859399E-3</v>
      </c>
      <c r="AJ20">
        <v>2023</v>
      </c>
      <c r="AK20">
        <v>35</v>
      </c>
      <c r="AL20">
        <v>5</v>
      </c>
      <c r="AM20">
        <v>4</v>
      </c>
      <c r="AN20" t="s">
        <v>1429</v>
      </c>
      <c r="AO20">
        <v>2</v>
      </c>
      <c r="AP20" t="s">
        <v>527</v>
      </c>
      <c r="AQ20">
        <v>123517.42693706699</v>
      </c>
      <c r="AR20" t="s">
        <v>1448</v>
      </c>
      <c r="AS20">
        <v>1.2351742693706698E-7</v>
      </c>
    </row>
    <row r="21" spans="1:45" x14ac:dyDescent="0.25">
      <c r="A21" t="s">
        <v>1404</v>
      </c>
      <c r="Y21">
        <v>2023</v>
      </c>
      <c r="Z21">
        <v>35</v>
      </c>
      <c r="AA21">
        <v>90</v>
      </c>
      <c r="AB21">
        <v>4</v>
      </c>
      <c r="AC21" t="s">
        <v>1429</v>
      </c>
      <c r="AD21">
        <v>3</v>
      </c>
      <c r="AE21" t="s">
        <v>528</v>
      </c>
      <c r="AF21" s="27">
        <v>34655925006.241402</v>
      </c>
      <c r="AG21" t="s">
        <v>1448</v>
      </c>
      <c r="AH21">
        <v>3.46559250062414E-2</v>
      </c>
      <c r="AJ21">
        <v>2023</v>
      </c>
      <c r="AK21">
        <v>35</v>
      </c>
      <c r="AL21">
        <v>5</v>
      </c>
      <c r="AM21">
        <v>4</v>
      </c>
      <c r="AN21" t="s">
        <v>1429</v>
      </c>
      <c r="AO21">
        <v>3</v>
      </c>
      <c r="AP21" t="s">
        <v>528</v>
      </c>
      <c r="AQ21">
        <v>1579266.67719979</v>
      </c>
      <c r="AR21" t="s">
        <v>1448</v>
      </c>
      <c r="AS21">
        <v>1.5792666771997901E-6</v>
      </c>
    </row>
    <row r="22" spans="1:45" x14ac:dyDescent="0.25">
      <c r="A22" t="s">
        <v>1405</v>
      </c>
      <c r="Y22">
        <v>2023</v>
      </c>
      <c r="Z22">
        <v>35</v>
      </c>
      <c r="AA22">
        <v>90</v>
      </c>
      <c r="AB22">
        <v>4</v>
      </c>
      <c r="AC22" t="s">
        <v>1429</v>
      </c>
      <c r="AD22">
        <v>4</v>
      </c>
      <c r="AE22" t="s">
        <v>529</v>
      </c>
      <c r="AF22" s="27">
        <v>625408089.29736304</v>
      </c>
      <c r="AG22" t="s">
        <v>1448</v>
      </c>
      <c r="AH22">
        <v>6.2540808929736306E-4</v>
      </c>
      <c r="AJ22">
        <v>2023</v>
      </c>
      <c r="AK22">
        <v>35</v>
      </c>
      <c r="AL22">
        <v>5</v>
      </c>
      <c r="AM22">
        <v>4</v>
      </c>
      <c r="AN22" t="s">
        <v>1429</v>
      </c>
      <c r="AO22">
        <v>4</v>
      </c>
      <c r="AP22" t="s">
        <v>529</v>
      </c>
      <c r="AQ22">
        <v>28425.858736808801</v>
      </c>
      <c r="AR22" t="s">
        <v>1448</v>
      </c>
      <c r="AS22">
        <v>2.8425858736808802E-8</v>
      </c>
    </row>
    <row r="23" spans="1:45" x14ac:dyDescent="0.25">
      <c r="A23" t="s">
        <v>1406</v>
      </c>
      <c r="Y23">
        <v>2023</v>
      </c>
      <c r="Z23">
        <v>35</v>
      </c>
      <c r="AA23">
        <v>90</v>
      </c>
      <c r="AB23">
        <v>4</v>
      </c>
      <c r="AC23" t="s">
        <v>1429</v>
      </c>
      <c r="AD23">
        <v>5</v>
      </c>
      <c r="AE23" t="s">
        <v>525</v>
      </c>
      <c r="AF23" s="27">
        <v>1659012.3694984701</v>
      </c>
      <c r="AG23" t="s">
        <v>1448</v>
      </c>
      <c r="AH23">
        <v>1.6590123694984702E-6</v>
      </c>
      <c r="AJ23">
        <v>2023</v>
      </c>
      <c r="AK23">
        <v>35</v>
      </c>
      <c r="AL23">
        <v>5</v>
      </c>
      <c r="AM23">
        <v>4</v>
      </c>
      <c r="AN23" t="s">
        <v>1429</v>
      </c>
      <c r="AO23">
        <v>5</v>
      </c>
      <c r="AP23" t="s">
        <v>525</v>
      </c>
      <c r="AQ23">
        <v>1532.2696188346399</v>
      </c>
      <c r="AR23" t="s">
        <v>1448</v>
      </c>
      <c r="AS23">
        <v>1.5322696188346399E-9</v>
      </c>
    </row>
    <row r="24" spans="1:45" x14ac:dyDescent="0.25">
      <c r="A24" t="s">
        <v>1407</v>
      </c>
      <c r="Y24">
        <v>2023</v>
      </c>
      <c r="Z24">
        <v>35</v>
      </c>
      <c r="AA24">
        <v>90</v>
      </c>
      <c r="AB24">
        <v>4</v>
      </c>
      <c r="AC24" t="s">
        <v>1429</v>
      </c>
      <c r="AD24">
        <v>6</v>
      </c>
      <c r="AE24" t="s">
        <v>66</v>
      </c>
      <c r="AF24" s="27">
        <v>3300274293.4650998</v>
      </c>
      <c r="AG24" t="s">
        <v>1448</v>
      </c>
      <c r="AH24">
        <v>3.3002742934650996E-3</v>
      </c>
      <c r="AJ24">
        <v>2023</v>
      </c>
      <c r="AK24">
        <v>35</v>
      </c>
      <c r="AL24">
        <v>5</v>
      </c>
      <c r="AM24">
        <v>4</v>
      </c>
      <c r="AN24" t="s">
        <v>1429</v>
      </c>
      <c r="AO24">
        <v>6</v>
      </c>
      <c r="AP24" t="s">
        <v>66</v>
      </c>
      <c r="AQ24">
        <v>449410.95435099601</v>
      </c>
      <c r="AR24" t="s">
        <v>1448</v>
      </c>
      <c r="AS24">
        <v>4.4941095435099602E-7</v>
      </c>
    </row>
    <row r="25" spans="1:45" x14ac:dyDescent="0.25">
      <c r="A25" t="s">
        <v>1408</v>
      </c>
      <c r="Y25">
        <v>2023</v>
      </c>
      <c r="Z25">
        <v>35</v>
      </c>
      <c r="AA25">
        <v>90</v>
      </c>
      <c r="AB25">
        <v>4</v>
      </c>
      <c r="AC25" t="s">
        <v>1429</v>
      </c>
      <c r="AD25">
        <v>8</v>
      </c>
      <c r="AE25" t="s">
        <v>526</v>
      </c>
      <c r="AF25" s="27">
        <v>44933613.086189799</v>
      </c>
      <c r="AG25" t="s">
        <v>1448</v>
      </c>
      <c r="AH25">
        <v>4.4933613086189799E-5</v>
      </c>
      <c r="AJ25">
        <v>2023</v>
      </c>
      <c r="AK25">
        <v>35</v>
      </c>
      <c r="AL25">
        <v>5</v>
      </c>
      <c r="AM25">
        <v>4</v>
      </c>
      <c r="AN25" t="s">
        <v>1429</v>
      </c>
      <c r="AO25">
        <v>8</v>
      </c>
      <c r="AP25" t="s">
        <v>526</v>
      </c>
      <c r="AQ25">
        <v>2050.5564775861999</v>
      </c>
      <c r="AR25" t="s">
        <v>1448</v>
      </c>
      <c r="AS25">
        <v>2.0505564775861997E-9</v>
      </c>
    </row>
    <row r="26" spans="1:45" x14ac:dyDescent="0.25">
      <c r="A26" t="s">
        <v>1409</v>
      </c>
      <c r="Y26">
        <v>2023</v>
      </c>
      <c r="Z26">
        <v>35</v>
      </c>
      <c r="AA26">
        <v>90</v>
      </c>
      <c r="AB26">
        <v>4</v>
      </c>
      <c r="AC26" t="s">
        <v>1429</v>
      </c>
      <c r="AD26">
        <v>12</v>
      </c>
      <c r="AE26" t="s">
        <v>533</v>
      </c>
      <c r="AF26" s="27">
        <v>12425756.839633901</v>
      </c>
      <c r="AG26" t="s">
        <v>1448</v>
      </c>
      <c r="AH26">
        <v>1.2425756839633901E-5</v>
      </c>
      <c r="AJ26">
        <v>2023</v>
      </c>
      <c r="AK26">
        <v>35</v>
      </c>
      <c r="AL26">
        <v>5</v>
      </c>
      <c r="AM26">
        <v>4</v>
      </c>
      <c r="AN26" t="s">
        <v>1429</v>
      </c>
      <c r="AO26">
        <v>12</v>
      </c>
      <c r="AP26" t="s">
        <v>533</v>
      </c>
      <c r="AQ26">
        <v>1000.45098496112</v>
      </c>
      <c r="AR26" t="s">
        <v>1448</v>
      </c>
      <c r="AS26">
        <v>1.00045098496112E-9</v>
      </c>
    </row>
    <row r="27" spans="1:45" x14ac:dyDescent="0.25">
      <c r="Y27">
        <v>2023</v>
      </c>
      <c r="Z27">
        <v>35</v>
      </c>
      <c r="AA27">
        <v>90</v>
      </c>
      <c r="AB27">
        <v>23</v>
      </c>
      <c r="AC27" t="s">
        <v>1417</v>
      </c>
      <c r="AD27">
        <v>1</v>
      </c>
      <c r="AE27" t="s">
        <v>534</v>
      </c>
      <c r="AF27" s="27">
        <v>835953814.67605996</v>
      </c>
      <c r="AG27" t="s">
        <v>1448</v>
      </c>
      <c r="AH27">
        <v>8.3595381467605997E-4</v>
      </c>
      <c r="AJ27">
        <v>2023</v>
      </c>
      <c r="AK27">
        <v>35</v>
      </c>
      <c r="AL27">
        <v>5</v>
      </c>
      <c r="AM27">
        <v>23</v>
      </c>
      <c r="AN27" t="s">
        <v>1417</v>
      </c>
      <c r="AO27">
        <v>1</v>
      </c>
      <c r="AP27" t="s">
        <v>534</v>
      </c>
      <c r="AQ27">
        <v>32531.874480005699</v>
      </c>
      <c r="AR27" t="s">
        <v>1448</v>
      </c>
      <c r="AS27">
        <v>3.2531874480005699E-8</v>
      </c>
    </row>
    <row r="28" spans="1:45" x14ac:dyDescent="0.25">
      <c r="A28" s="410" t="s">
        <v>1410</v>
      </c>
      <c r="B28" s="411"/>
      <c r="C28" s="411"/>
      <c r="D28" s="411"/>
      <c r="E28" s="411"/>
      <c r="F28" s="411"/>
      <c r="G28" s="411"/>
      <c r="H28" s="411"/>
      <c r="I28" s="411"/>
      <c r="J28" s="411"/>
      <c r="K28" s="411"/>
      <c r="L28" s="411"/>
      <c r="Y28">
        <v>2023</v>
      </c>
      <c r="Z28">
        <v>35</v>
      </c>
      <c r="AA28">
        <v>90</v>
      </c>
      <c r="AB28">
        <v>23</v>
      </c>
      <c r="AC28" t="s">
        <v>1417</v>
      </c>
      <c r="AD28">
        <v>2</v>
      </c>
      <c r="AE28" t="s">
        <v>527</v>
      </c>
      <c r="AF28" s="27">
        <v>699283114415.48999</v>
      </c>
      <c r="AG28" t="s">
        <v>1448</v>
      </c>
      <c r="AH28">
        <v>0.69928311441548996</v>
      </c>
      <c r="AJ28">
        <v>2023</v>
      </c>
      <c r="AK28">
        <v>35</v>
      </c>
      <c r="AL28">
        <v>5</v>
      </c>
      <c r="AM28">
        <v>23</v>
      </c>
      <c r="AN28" t="s">
        <v>1417</v>
      </c>
      <c r="AO28">
        <v>2</v>
      </c>
      <c r="AP28" t="s">
        <v>527</v>
      </c>
      <c r="AQ28">
        <v>8351777.1622818504</v>
      </c>
      <c r="AR28" t="s">
        <v>1448</v>
      </c>
      <c r="AS28">
        <v>8.3517771622818504E-6</v>
      </c>
    </row>
    <row r="29" spans="1:45" x14ac:dyDescent="0.25">
      <c r="Y29">
        <v>2023</v>
      </c>
      <c r="Z29">
        <v>35</v>
      </c>
      <c r="AA29">
        <v>90</v>
      </c>
      <c r="AB29">
        <v>23</v>
      </c>
      <c r="AC29" t="s">
        <v>1417</v>
      </c>
      <c r="AD29">
        <v>3</v>
      </c>
      <c r="AE29" t="s">
        <v>528</v>
      </c>
      <c r="AF29" s="27">
        <v>56652258879.963097</v>
      </c>
      <c r="AG29" t="s">
        <v>1448</v>
      </c>
      <c r="AH29">
        <v>5.6652258879963099E-2</v>
      </c>
      <c r="AJ29">
        <v>2023</v>
      </c>
      <c r="AK29">
        <v>35</v>
      </c>
      <c r="AL29">
        <v>5</v>
      </c>
      <c r="AM29">
        <v>23</v>
      </c>
      <c r="AN29" t="s">
        <v>1417</v>
      </c>
      <c r="AO29">
        <v>3</v>
      </c>
      <c r="AP29" t="s">
        <v>528</v>
      </c>
      <c r="AQ29">
        <v>828208.70184764406</v>
      </c>
      <c r="AR29" t="s">
        <v>1448</v>
      </c>
      <c r="AS29">
        <v>8.2820870184764406E-7</v>
      </c>
    </row>
    <row r="30" spans="1:45" x14ac:dyDescent="0.25">
      <c r="A30" s="10" t="s">
        <v>3</v>
      </c>
      <c r="B30" s="10" t="s">
        <v>4</v>
      </c>
      <c r="C30" s="10" t="s">
        <v>35</v>
      </c>
      <c r="D30" s="10" t="s">
        <v>1156</v>
      </c>
      <c r="E30" s="10" t="s">
        <v>67</v>
      </c>
      <c r="F30" s="10" t="s">
        <v>60</v>
      </c>
      <c r="H30" s="2"/>
      <c r="I30" s="2"/>
      <c r="J30" s="2" t="s">
        <v>1411</v>
      </c>
      <c r="K30" s="2"/>
      <c r="Y30">
        <v>2023</v>
      </c>
      <c r="Z30">
        <v>35</v>
      </c>
      <c r="AA30">
        <v>90</v>
      </c>
      <c r="AB30">
        <v>23</v>
      </c>
      <c r="AC30" t="s">
        <v>1417</v>
      </c>
      <c r="AD30">
        <v>4</v>
      </c>
      <c r="AE30" t="s">
        <v>529</v>
      </c>
      <c r="AF30" s="27">
        <v>14101016727.998501</v>
      </c>
      <c r="AG30" t="s">
        <v>1448</v>
      </c>
      <c r="AH30">
        <v>1.4101016727998501E-2</v>
      </c>
      <c r="AJ30">
        <v>2023</v>
      </c>
      <c r="AK30">
        <v>35</v>
      </c>
      <c r="AL30">
        <v>5</v>
      </c>
      <c r="AM30">
        <v>23</v>
      </c>
      <c r="AN30" t="s">
        <v>1417</v>
      </c>
      <c r="AO30">
        <v>4</v>
      </c>
      <c r="AP30" t="s">
        <v>529</v>
      </c>
      <c r="AQ30">
        <v>411144.48425255902</v>
      </c>
      <c r="AR30" t="s">
        <v>1448</v>
      </c>
      <c r="AS30">
        <v>4.1114448425255905E-7</v>
      </c>
    </row>
    <row r="31" spans="1:45" x14ac:dyDescent="0.25">
      <c r="A31" s="2">
        <v>2023</v>
      </c>
      <c r="B31" s="2" t="s">
        <v>10</v>
      </c>
      <c r="C31" s="2" t="s">
        <v>1158</v>
      </c>
      <c r="D31" s="2" t="s">
        <v>525</v>
      </c>
      <c r="E31" s="45">
        <f>SUMIFS(AF:AF,Y:Y,$A31,AC:AC,$C31,AE:AE,$D31)/10^6</f>
        <v>1754.4282139616398</v>
      </c>
      <c r="F31" s="45">
        <f t="shared" ref="F31:F48" si="0">SUMIFS(AQ:AQ,AJ:AJ,$A31,AN:AN,$C31,AP:AP,$D31)/10^6</f>
        <v>1.8625703510551699</v>
      </c>
      <c r="H31" s="2"/>
      <c r="I31" s="2" t="s">
        <v>1412</v>
      </c>
      <c r="J31" s="2" t="s">
        <v>1413</v>
      </c>
      <c r="K31" s="2" t="s">
        <v>1414</v>
      </c>
      <c r="L31" s="328" t="s">
        <v>1415</v>
      </c>
      <c r="Y31">
        <v>2023</v>
      </c>
      <c r="Z31">
        <v>35</v>
      </c>
      <c r="AA31">
        <v>90</v>
      </c>
      <c r="AB31">
        <v>23</v>
      </c>
      <c r="AC31" t="s">
        <v>1417</v>
      </c>
      <c r="AD31">
        <v>5</v>
      </c>
      <c r="AE31" t="s">
        <v>525</v>
      </c>
      <c r="AF31" s="27">
        <v>77606425665.767105</v>
      </c>
      <c r="AG31" t="s">
        <v>1448</v>
      </c>
      <c r="AH31">
        <v>7.7606425665767101E-2</v>
      </c>
      <c r="AJ31">
        <v>2023</v>
      </c>
      <c r="AK31">
        <v>35</v>
      </c>
      <c r="AL31">
        <v>5</v>
      </c>
      <c r="AM31">
        <v>23</v>
      </c>
      <c r="AN31" t="s">
        <v>1417</v>
      </c>
      <c r="AO31">
        <v>5</v>
      </c>
      <c r="AP31" t="s">
        <v>525</v>
      </c>
      <c r="AQ31">
        <v>1329416.84994928</v>
      </c>
      <c r="AR31" t="s">
        <v>1448</v>
      </c>
      <c r="AS31">
        <v>1.3294168499492799E-6</v>
      </c>
    </row>
    <row r="32" spans="1:45" x14ac:dyDescent="0.25">
      <c r="A32" s="2">
        <v>2023</v>
      </c>
      <c r="B32" s="2" t="s">
        <v>10</v>
      </c>
      <c r="C32" s="2" t="s">
        <v>1158</v>
      </c>
      <c r="D32" s="2" t="s">
        <v>527</v>
      </c>
      <c r="E32" s="45">
        <f t="shared" ref="E32:E48" si="1">SUMIFS(AF:AF,Y:Y,$A32,AC:AC,$C32,AE:AE,$D32)/10^6</f>
        <v>20815.955498696603</v>
      </c>
      <c r="F32" s="45">
        <f t="shared" si="0"/>
        <v>15.825874966109799</v>
      </c>
      <c r="H32" s="2" t="s">
        <v>1158</v>
      </c>
      <c r="I32" s="45">
        <f>SUMIF($C$31:$C$44,$H32,$E$31:$E$44)</f>
        <v>80957.676952303475</v>
      </c>
      <c r="J32" s="45">
        <v>225836.57295143101</v>
      </c>
      <c r="K32" s="45">
        <f>J32-I32</f>
        <v>144878.89599912753</v>
      </c>
      <c r="L32" t="s">
        <v>1416</v>
      </c>
      <c r="Y32">
        <v>2023</v>
      </c>
      <c r="Z32">
        <v>35</v>
      </c>
      <c r="AA32">
        <v>90</v>
      </c>
      <c r="AB32">
        <v>23</v>
      </c>
      <c r="AC32" t="s">
        <v>1417</v>
      </c>
      <c r="AD32">
        <v>6</v>
      </c>
      <c r="AE32" t="s">
        <v>66</v>
      </c>
      <c r="AF32" s="27">
        <v>36381003512.675301</v>
      </c>
      <c r="AG32" t="s">
        <v>1448</v>
      </c>
      <c r="AH32">
        <v>3.63810035126753E-2</v>
      </c>
      <c r="AJ32">
        <v>2023</v>
      </c>
      <c r="AK32">
        <v>35</v>
      </c>
      <c r="AL32">
        <v>5</v>
      </c>
      <c r="AM32">
        <v>23</v>
      </c>
      <c r="AN32" t="s">
        <v>1417</v>
      </c>
      <c r="AO32">
        <v>6</v>
      </c>
      <c r="AP32" t="s">
        <v>66</v>
      </c>
      <c r="AQ32">
        <v>823606.07136453805</v>
      </c>
      <c r="AR32" t="s">
        <v>1448</v>
      </c>
      <c r="AS32">
        <v>8.2360607136453804E-7</v>
      </c>
    </row>
    <row r="33" spans="1:45" x14ac:dyDescent="0.25">
      <c r="A33" s="2">
        <v>2023</v>
      </c>
      <c r="B33" s="2" t="s">
        <v>10</v>
      </c>
      <c r="C33" s="2" t="s">
        <v>1158</v>
      </c>
      <c r="D33" s="2" t="s">
        <v>528</v>
      </c>
      <c r="E33" s="45">
        <f t="shared" si="1"/>
        <v>5266.01889218423</v>
      </c>
      <c r="F33" s="45">
        <f t="shared" si="0"/>
        <v>1.4883604840340501</v>
      </c>
      <c r="H33" s="2" t="s">
        <v>1417</v>
      </c>
      <c r="I33" s="45">
        <f>SUMIF($C$31:$C$44,$H33,$E$31:$E$44)-E44</f>
        <v>859142.65326953097</v>
      </c>
      <c r="J33" s="45">
        <v>766027.66791319347</v>
      </c>
      <c r="K33" s="45">
        <f>J33-I33</f>
        <v>-93114.985356337507</v>
      </c>
      <c r="L33" t="s">
        <v>1418</v>
      </c>
      <c r="Y33">
        <v>2023</v>
      </c>
      <c r="Z33">
        <v>35</v>
      </c>
      <c r="AA33">
        <v>90</v>
      </c>
      <c r="AB33">
        <v>23</v>
      </c>
      <c r="AC33" t="s">
        <v>1417</v>
      </c>
      <c r="AD33">
        <v>7</v>
      </c>
      <c r="AE33" t="s">
        <v>530</v>
      </c>
      <c r="AF33" s="27">
        <v>157147304.739517</v>
      </c>
      <c r="AG33" t="s">
        <v>1448</v>
      </c>
      <c r="AH33">
        <v>1.5714730473951699E-4</v>
      </c>
      <c r="AJ33">
        <v>2023</v>
      </c>
      <c r="AK33">
        <v>35</v>
      </c>
      <c r="AL33">
        <v>5</v>
      </c>
      <c r="AM33">
        <v>23</v>
      </c>
      <c r="AN33" t="s">
        <v>1417</v>
      </c>
      <c r="AO33">
        <v>7</v>
      </c>
      <c r="AP33" t="s">
        <v>530</v>
      </c>
      <c r="AQ33">
        <v>323.49780114449499</v>
      </c>
      <c r="AR33" t="s">
        <v>1448</v>
      </c>
      <c r="AS33">
        <v>3.23497801144495E-10</v>
      </c>
    </row>
    <row r="34" spans="1:45" x14ac:dyDescent="0.25">
      <c r="A34" s="2">
        <v>2023</v>
      </c>
      <c r="B34" s="2" t="s">
        <v>10</v>
      </c>
      <c r="C34" s="2" t="s">
        <v>1158</v>
      </c>
      <c r="D34" s="2" t="s">
        <v>530</v>
      </c>
      <c r="E34" s="45">
        <f t="shared" si="1"/>
        <v>14.993747668833398</v>
      </c>
      <c r="F34" s="45">
        <f t="shared" si="0"/>
        <v>1.7194733602109803E-2</v>
      </c>
      <c r="H34" s="2"/>
      <c r="I34" s="2"/>
      <c r="J34" s="2" t="s">
        <v>1411</v>
      </c>
      <c r="K34" s="2"/>
      <c r="Y34">
        <v>2023</v>
      </c>
      <c r="Z34">
        <v>35</v>
      </c>
      <c r="AA34">
        <v>90</v>
      </c>
      <c r="AB34">
        <v>23</v>
      </c>
      <c r="AC34" t="s">
        <v>1417</v>
      </c>
      <c r="AD34">
        <v>8</v>
      </c>
      <c r="AE34" t="s">
        <v>526</v>
      </c>
      <c r="AF34" s="27">
        <v>3356486839.6050301</v>
      </c>
      <c r="AG34" t="s">
        <v>1448</v>
      </c>
      <c r="AH34">
        <v>3.3564868396050301E-3</v>
      </c>
      <c r="AJ34">
        <v>2023</v>
      </c>
      <c r="AK34">
        <v>35</v>
      </c>
      <c r="AL34">
        <v>5</v>
      </c>
      <c r="AM34">
        <v>23</v>
      </c>
      <c r="AN34" t="s">
        <v>1417</v>
      </c>
      <c r="AO34">
        <v>8</v>
      </c>
      <c r="AP34" t="s">
        <v>526</v>
      </c>
      <c r="AQ34">
        <v>27781.014457000001</v>
      </c>
      <c r="AR34" t="s">
        <v>1448</v>
      </c>
      <c r="AS34">
        <v>2.7781014457000001E-8</v>
      </c>
    </row>
    <row r="35" spans="1:45" x14ac:dyDescent="0.25">
      <c r="A35" s="2">
        <v>2023</v>
      </c>
      <c r="B35" s="2" t="s">
        <v>10</v>
      </c>
      <c r="C35" s="2" t="s">
        <v>1158</v>
      </c>
      <c r="D35" s="2" t="s">
        <v>531</v>
      </c>
      <c r="E35" s="45">
        <f t="shared" si="1"/>
        <v>9755.9186057343686</v>
      </c>
      <c r="F35" s="45">
        <f t="shared" si="0"/>
        <v>7.9138187179336503</v>
      </c>
      <c r="H35" s="2"/>
      <c r="I35" s="2" t="s">
        <v>1419</v>
      </c>
      <c r="J35" s="2" t="s">
        <v>1420</v>
      </c>
      <c r="K35" s="2" t="s">
        <v>1421</v>
      </c>
      <c r="Y35">
        <v>2023</v>
      </c>
      <c r="Z35">
        <v>35</v>
      </c>
      <c r="AA35">
        <v>90</v>
      </c>
      <c r="AB35">
        <v>23</v>
      </c>
      <c r="AC35" t="s">
        <v>1417</v>
      </c>
      <c r="AD35">
        <v>9</v>
      </c>
      <c r="AE35" t="s">
        <v>479</v>
      </c>
      <c r="AF35" s="27">
        <v>1184251238.57142</v>
      </c>
      <c r="AG35" t="s">
        <v>1448</v>
      </c>
      <c r="AH35">
        <v>1.1842512385714199E-3</v>
      </c>
      <c r="AJ35">
        <v>2023</v>
      </c>
      <c r="AK35">
        <v>35</v>
      </c>
      <c r="AL35">
        <v>5</v>
      </c>
      <c r="AM35">
        <v>23</v>
      </c>
      <c r="AN35" t="s">
        <v>1417</v>
      </c>
      <c r="AO35">
        <v>9</v>
      </c>
      <c r="AP35" t="s">
        <v>479</v>
      </c>
      <c r="AQ35">
        <v>126141.75366326699</v>
      </c>
      <c r="AR35" t="s">
        <v>1448</v>
      </c>
      <c r="AS35">
        <v>1.26141753663267E-7</v>
      </c>
    </row>
    <row r="36" spans="1:45" x14ac:dyDescent="0.25">
      <c r="A36" s="2">
        <v>2023</v>
      </c>
      <c r="B36" s="2" t="s">
        <v>10</v>
      </c>
      <c r="C36" s="2" t="s">
        <v>1158</v>
      </c>
      <c r="D36" s="2" t="s">
        <v>479</v>
      </c>
      <c r="E36" s="45">
        <f t="shared" si="1"/>
        <v>0</v>
      </c>
      <c r="F36" s="45">
        <f t="shared" si="0"/>
        <v>0</v>
      </c>
      <c r="H36" s="2" t="s">
        <v>1158</v>
      </c>
      <c r="I36" s="45">
        <f>SUMIF($C$31:$C$44,$H36,$F$31:$F$44)</f>
        <v>56.507686397548881</v>
      </c>
      <c r="J36" s="45">
        <v>8.3527500000000003</v>
      </c>
      <c r="K36" s="45">
        <f>J36-I36</f>
        <v>-48.15493639754888</v>
      </c>
      <c r="L36" t="s">
        <v>1418</v>
      </c>
      <c r="Y36">
        <v>2023</v>
      </c>
      <c r="Z36">
        <v>35</v>
      </c>
      <c r="AA36">
        <v>90</v>
      </c>
      <c r="AB36">
        <v>23</v>
      </c>
      <c r="AC36" t="s">
        <v>1417</v>
      </c>
      <c r="AD36">
        <v>10</v>
      </c>
      <c r="AE36" t="s">
        <v>531</v>
      </c>
      <c r="AF36" s="27">
        <v>24259455765</v>
      </c>
      <c r="AG36" t="s">
        <v>1448</v>
      </c>
      <c r="AH36">
        <v>2.4259455765E-2</v>
      </c>
      <c r="AJ36">
        <v>2023</v>
      </c>
      <c r="AK36">
        <v>35</v>
      </c>
      <c r="AL36">
        <v>5</v>
      </c>
      <c r="AM36">
        <v>23</v>
      </c>
      <c r="AN36" t="s">
        <v>1417</v>
      </c>
      <c r="AO36">
        <v>10</v>
      </c>
      <c r="AP36" t="s">
        <v>531</v>
      </c>
      <c r="AQ36">
        <v>163197.17273951299</v>
      </c>
      <c r="AR36" t="s">
        <v>1448</v>
      </c>
      <c r="AS36">
        <v>1.6319717273951298E-7</v>
      </c>
    </row>
    <row r="37" spans="1:45" x14ac:dyDescent="0.25">
      <c r="A37" s="2">
        <v>2023</v>
      </c>
      <c r="B37" s="2" t="s">
        <v>10</v>
      </c>
      <c r="C37" s="2" t="s">
        <v>1158</v>
      </c>
      <c r="D37" s="2" t="s">
        <v>66</v>
      </c>
      <c r="E37" s="45">
        <f t="shared" si="1"/>
        <v>43350.361994057799</v>
      </c>
      <c r="F37" s="45">
        <f t="shared" si="0"/>
        <v>29.399867144814099</v>
      </c>
      <c r="H37" s="2" t="s">
        <v>1417</v>
      </c>
      <c r="I37" s="45">
        <f>SUMIF($C$31:$C$44,$H37,$F$31:$F$44)-F44</f>
        <v>10.7990651382827</v>
      </c>
      <c r="J37" s="45">
        <v>35.97251</v>
      </c>
      <c r="K37" s="45">
        <f>J37-I37</f>
        <v>25.1734448617173</v>
      </c>
      <c r="L37" t="s">
        <v>1422</v>
      </c>
      <c r="Y37">
        <v>2023</v>
      </c>
      <c r="Z37">
        <v>35</v>
      </c>
      <c r="AA37">
        <v>90</v>
      </c>
      <c r="AB37">
        <v>23</v>
      </c>
      <c r="AC37" t="s">
        <v>1417</v>
      </c>
      <c r="AD37">
        <v>12</v>
      </c>
      <c r="AE37" t="s">
        <v>533</v>
      </c>
      <c r="AF37" s="27">
        <v>7618107237.8861599</v>
      </c>
      <c r="AG37" t="s">
        <v>1448</v>
      </c>
      <c r="AH37">
        <v>7.6181072378861603E-3</v>
      </c>
      <c r="AJ37">
        <v>2023</v>
      </c>
      <c r="AK37">
        <v>35</v>
      </c>
      <c r="AL37">
        <v>5</v>
      </c>
      <c r="AM37">
        <v>23</v>
      </c>
      <c r="AN37" t="s">
        <v>1417</v>
      </c>
      <c r="AO37">
        <v>12</v>
      </c>
      <c r="AP37" t="s">
        <v>533</v>
      </c>
      <c r="AQ37">
        <v>257564.38996829299</v>
      </c>
      <c r="AR37" t="s">
        <v>1448</v>
      </c>
      <c r="AS37">
        <v>2.5756438996829299E-7</v>
      </c>
    </row>
    <row r="38" spans="1:45" x14ac:dyDescent="0.25">
      <c r="A38" s="2">
        <v>2023</v>
      </c>
      <c r="B38" s="2" t="s">
        <v>10</v>
      </c>
      <c r="C38" s="2" t="s">
        <v>1417</v>
      </c>
      <c r="D38" s="2" t="s">
        <v>525</v>
      </c>
      <c r="E38" s="45">
        <f t="shared" si="1"/>
        <v>77606.425665767107</v>
      </c>
      <c r="F38" s="45">
        <f t="shared" si="0"/>
        <v>1.32941684994928</v>
      </c>
      <c r="Y38">
        <v>2023</v>
      </c>
      <c r="Z38">
        <v>35</v>
      </c>
      <c r="AA38">
        <v>90</v>
      </c>
      <c r="AB38">
        <v>24</v>
      </c>
      <c r="AC38" t="s">
        <v>1450</v>
      </c>
      <c r="AD38">
        <v>11</v>
      </c>
      <c r="AE38" t="s">
        <v>532</v>
      </c>
      <c r="AF38" s="27">
        <v>10089813798.605</v>
      </c>
      <c r="AG38" t="s">
        <v>1448</v>
      </c>
      <c r="AH38">
        <v>1.0089813798604999E-2</v>
      </c>
      <c r="AJ38">
        <v>2023</v>
      </c>
      <c r="AK38">
        <v>35</v>
      </c>
      <c r="AL38">
        <v>5</v>
      </c>
      <c r="AM38">
        <v>24</v>
      </c>
      <c r="AN38" t="s">
        <v>1450</v>
      </c>
      <c r="AO38">
        <v>11</v>
      </c>
      <c r="AP38" t="s">
        <v>532</v>
      </c>
      <c r="AQ38">
        <v>392967.11983927101</v>
      </c>
      <c r="AR38" t="s">
        <v>1448</v>
      </c>
      <c r="AS38">
        <v>3.9296711983927098E-7</v>
      </c>
    </row>
    <row r="39" spans="1:45" x14ac:dyDescent="0.25">
      <c r="A39" s="2">
        <v>2023</v>
      </c>
      <c r="B39" s="2" t="s">
        <v>10</v>
      </c>
      <c r="C39" s="2" t="s">
        <v>1417</v>
      </c>
      <c r="D39" s="2" t="s">
        <v>527</v>
      </c>
      <c r="E39" s="45">
        <f t="shared" si="1"/>
        <v>699283.11441548995</v>
      </c>
      <c r="F39" s="45">
        <f t="shared" si="0"/>
        <v>8.3517771622818504</v>
      </c>
      <c r="I39" t="s">
        <v>67</v>
      </c>
      <c r="J39" t="s">
        <v>60</v>
      </c>
      <c r="K39" t="s">
        <v>61</v>
      </c>
    </row>
    <row r="40" spans="1:45" x14ac:dyDescent="0.25">
      <c r="A40" s="2">
        <v>2023</v>
      </c>
      <c r="B40" s="2" t="s">
        <v>10</v>
      </c>
      <c r="C40" s="2" t="s">
        <v>1417</v>
      </c>
      <c r="D40" s="2" t="s">
        <v>528</v>
      </c>
      <c r="E40" s="45">
        <f t="shared" si="1"/>
        <v>56652.258879963098</v>
      </c>
      <c r="F40" s="45">
        <f t="shared" si="0"/>
        <v>0.82820870184764406</v>
      </c>
      <c r="H40" s="2" t="s">
        <v>1423</v>
      </c>
      <c r="I40" s="45">
        <v>2496332.0114166206</v>
      </c>
      <c r="J40" s="45">
        <v>135.0082340340031</v>
      </c>
      <c r="K40" s="45">
        <v>25.067729119010814</v>
      </c>
    </row>
    <row r="41" spans="1:45" x14ac:dyDescent="0.25">
      <c r="A41" s="2">
        <v>2023</v>
      </c>
      <c r="B41" s="2" t="s">
        <v>10</v>
      </c>
      <c r="C41" s="2" t="s">
        <v>1417</v>
      </c>
      <c r="D41" s="2" t="s">
        <v>530</v>
      </c>
      <c r="E41" s="45">
        <f t="shared" si="1"/>
        <v>157.14730473951701</v>
      </c>
      <c r="F41" s="45">
        <f t="shared" si="0"/>
        <v>3.2349780114449499E-4</v>
      </c>
      <c r="H41" s="2" t="s">
        <v>1424</v>
      </c>
      <c r="I41" s="45">
        <f>I40-SUM(I32:I33)</f>
        <v>1556231.681194786</v>
      </c>
      <c r="J41" s="45">
        <f>J40-SUM(I36:I37)</f>
        <v>67.701482498171515</v>
      </c>
      <c r="K41" s="45">
        <f>K40</f>
        <v>25.067729119010814</v>
      </c>
    </row>
    <row r="42" spans="1:45" x14ac:dyDescent="0.25">
      <c r="A42" s="2">
        <v>2023</v>
      </c>
      <c r="B42" s="2" t="s">
        <v>10</v>
      </c>
      <c r="C42" s="2" t="s">
        <v>1417</v>
      </c>
      <c r="D42" s="2" t="s">
        <v>531</v>
      </c>
      <c r="E42" s="45">
        <f t="shared" si="1"/>
        <v>24259.455764999999</v>
      </c>
      <c r="F42" s="45">
        <f t="shared" si="0"/>
        <v>0.16319717273951298</v>
      </c>
      <c r="I42" s="5">
        <f>(I40-I41)/I40</f>
        <v>0.37659266713018102</v>
      </c>
      <c r="J42" s="5">
        <f>(J40-J41)/J40</f>
        <v>0.49853812263687369</v>
      </c>
      <c r="K42" t="s">
        <v>1425</v>
      </c>
    </row>
    <row r="43" spans="1:45" x14ac:dyDescent="0.25">
      <c r="A43" s="2">
        <v>2023</v>
      </c>
      <c r="B43" s="2" t="s">
        <v>10</v>
      </c>
      <c r="C43" s="2" t="s">
        <v>1417</v>
      </c>
      <c r="D43" s="2" t="s">
        <v>479</v>
      </c>
      <c r="E43" s="45">
        <f t="shared" si="1"/>
        <v>1184.2512385714199</v>
      </c>
      <c r="F43" s="45">
        <f t="shared" si="0"/>
        <v>0.12614175366326699</v>
      </c>
    </row>
    <row r="44" spans="1:45" x14ac:dyDescent="0.25">
      <c r="A44" s="377">
        <v>2023</v>
      </c>
      <c r="B44" s="377" t="s">
        <v>10</v>
      </c>
      <c r="C44" s="377" t="s">
        <v>1426</v>
      </c>
      <c r="D44" s="377" t="s">
        <v>66</v>
      </c>
      <c r="E44" s="412">
        <f t="shared" si="1"/>
        <v>0</v>
      </c>
      <c r="F44" s="412">
        <f t="shared" si="0"/>
        <v>0</v>
      </c>
      <c r="H44" s="31"/>
      <c r="I44" s="31" t="s">
        <v>1427</v>
      </c>
      <c r="J44" s="31" t="s">
        <v>1428</v>
      </c>
    </row>
    <row r="45" spans="1:45" x14ac:dyDescent="0.25">
      <c r="A45" s="413">
        <v>2023</v>
      </c>
      <c r="B45" s="413" t="s">
        <v>10</v>
      </c>
      <c r="C45" s="413" t="s">
        <v>1429</v>
      </c>
      <c r="D45" s="413" t="s">
        <v>525</v>
      </c>
      <c r="E45" s="414">
        <f t="shared" si="1"/>
        <v>1.6590123694984702</v>
      </c>
      <c r="F45" s="414">
        <f t="shared" si="0"/>
        <v>1.5322696188346399E-3</v>
      </c>
      <c r="H45" s="31" t="s">
        <v>1430</v>
      </c>
      <c r="I45" s="414">
        <v>56582.999999999993</v>
      </c>
      <c r="J45" s="414">
        <v>2.7090000000000001</v>
      </c>
    </row>
    <row r="46" spans="1:45" x14ac:dyDescent="0.25">
      <c r="A46" s="413">
        <v>2023</v>
      </c>
      <c r="B46" s="413" t="s">
        <v>10</v>
      </c>
      <c r="C46" s="413" t="s">
        <v>1429</v>
      </c>
      <c r="D46" s="413" t="s">
        <v>527</v>
      </c>
      <c r="E46" s="414">
        <f t="shared" si="1"/>
        <v>2151.4269748859401</v>
      </c>
      <c r="F46" s="414">
        <f t="shared" si="0"/>
        <v>0.12351742693706699</v>
      </c>
      <c r="H46" s="31" t="s">
        <v>1431</v>
      </c>
      <c r="I46" s="414">
        <f>SUM(E45:E48)</f>
        <v>40109.285286961938</v>
      </c>
      <c r="J46" s="414">
        <f>SUM(F45:F48)</f>
        <v>2.1537273281066875</v>
      </c>
    </row>
    <row r="47" spans="1:45" x14ac:dyDescent="0.25">
      <c r="A47" s="413">
        <v>2023</v>
      </c>
      <c r="B47" s="413" t="s">
        <v>10</v>
      </c>
      <c r="C47" s="413" t="s">
        <v>1429</v>
      </c>
      <c r="D47" s="413" t="s">
        <v>528</v>
      </c>
      <c r="E47" s="414">
        <f t="shared" si="1"/>
        <v>34655.925006241399</v>
      </c>
      <c r="F47" s="414">
        <f t="shared" si="0"/>
        <v>1.5792666771997901</v>
      </c>
    </row>
    <row r="48" spans="1:45" x14ac:dyDescent="0.25">
      <c r="A48" s="413">
        <v>2023</v>
      </c>
      <c r="B48" s="413" t="s">
        <v>10</v>
      </c>
      <c r="C48" s="413" t="s">
        <v>1429</v>
      </c>
      <c r="D48" s="413" t="s">
        <v>66</v>
      </c>
      <c r="E48" s="414">
        <f t="shared" si="1"/>
        <v>3300.2742934650996</v>
      </c>
      <c r="F48" s="414">
        <f t="shared" si="0"/>
        <v>0.44941095435099598</v>
      </c>
    </row>
    <row r="51" spans="1:12" x14ac:dyDescent="0.25">
      <c r="A51" t="s">
        <v>1432</v>
      </c>
    </row>
    <row r="52" spans="1:12" x14ac:dyDescent="0.25">
      <c r="A52" t="s">
        <v>1433</v>
      </c>
    </row>
    <row r="53" spans="1:12" x14ac:dyDescent="0.25">
      <c r="A53" t="s">
        <v>1434</v>
      </c>
    </row>
    <row r="56" spans="1:12" x14ac:dyDescent="0.25">
      <c r="A56" t="s">
        <v>1435</v>
      </c>
    </row>
    <row r="57" spans="1:12" x14ac:dyDescent="0.25">
      <c r="A57" t="s">
        <v>1436</v>
      </c>
    </row>
    <row r="58" spans="1:12" x14ac:dyDescent="0.25">
      <c r="A58" t="s">
        <v>1437</v>
      </c>
    </row>
    <row r="59" spans="1:12" x14ac:dyDescent="0.25">
      <c r="A59" t="s">
        <v>1438</v>
      </c>
    </row>
    <row r="62" spans="1:12" x14ac:dyDescent="0.25">
      <c r="A62" s="1"/>
      <c r="L62" s="1"/>
    </row>
    <row r="64" spans="1:12" x14ac:dyDescent="0.25">
      <c r="H64" s="27"/>
    </row>
    <row r="65" spans="8:8" x14ac:dyDescent="0.25">
      <c r="H65" s="27"/>
    </row>
    <row r="66" spans="8:8" x14ac:dyDescent="0.25">
      <c r="H66" s="27"/>
    </row>
    <row r="67" spans="8:8" x14ac:dyDescent="0.25">
      <c r="H67" s="27"/>
    </row>
    <row r="68" spans="8:8" x14ac:dyDescent="0.25">
      <c r="H68" s="27"/>
    </row>
    <row r="69" spans="8:8" x14ac:dyDescent="0.25">
      <c r="H69" s="27"/>
    </row>
    <row r="70" spans="8:8" x14ac:dyDescent="0.25">
      <c r="H70" s="27"/>
    </row>
    <row r="71" spans="8:8" x14ac:dyDescent="0.25">
      <c r="H71" s="27"/>
    </row>
    <row r="72" spans="8:8" x14ac:dyDescent="0.25">
      <c r="H72" s="27"/>
    </row>
    <row r="73" spans="8:8" x14ac:dyDescent="0.25">
      <c r="H73" s="27"/>
    </row>
    <row r="74" spans="8:8" x14ac:dyDescent="0.25">
      <c r="H74" s="27"/>
    </row>
    <row r="75" spans="8:8" x14ac:dyDescent="0.25">
      <c r="H75" s="27"/>
    </row>
    <row r="76" spans="8:8" x14ac:dyDescent="0.25">
      <c r="H76" s="27"/>
    </row>
    <row r="77" spans="8:8" x14ac:dyDescent="0.25">
      <c r="H77" s="27"/>
    </row>
    <row r="78" spans="8:8" x14ac:dyDescent="0.25">
      <c r="H78" s="27"/>
    </row>
    <row r="79" spans="8:8" x14ac:dyDescent="0.25">
      <c r="H79" s="27"/>
    </row>
    <row r="80" spans="8:8" x14ac:dyDescent="0.25">
      <c r="H80" s="27"/>
    </row>
    <row r="81" spans="8:8" x14ac:dyDescent="0.25">
      <c r="H81" s="27"/>
    </row>
    <row r="82" spans="8:8" x14ac:dyDescent="0.25">
      <c r="H82" s="27"/>
    </row>
    <row r="83" spans="8:8" x14ac:dyDescent="0.25">
      <c r="H83" s="27"/>
    </row>
    <row r="84" spans="8:8" x14ac:dyDescent="0.25">
      <c r="H84" s="27"/>
    </row>
    <row r="85" spans="8:8" x14ac:dyDescent="0.25">
      <c r="H85" s="27"/>
    </row>
    <row r="86" spans="8:8" x14ac:dyDescent="0.25">
      <c r="H86" s="27"/>
    </row>
    <row r="87" spans="8:8" x14ac:dyDescent="0.25">
      <c r="H87" s="27"/>
    </row>
    <row r="88" spans="8:8" x14ac:dyDescent="0.25">
      <c r="H88" s="27"/>
    </row>
    <row r="89" spans="8:8" x14ac:dyDescent="0.25">
      <c r="H89" s="27"/>
    </row>
    <row r="90" spans="8:8" x14ac:dyDescent="0.25">
      <c r="H90" s="27"/>
    </row>
    <row r="91" spans="8:8" x14ac:dyDescent="0.25">
      <c r="H91" s="27"/>
    </row>
    <row r="92" spans="8:8" x14ac:dyDescent="0.25">
      <c r="H92" s="27"/>
    </row>
    <row r="93" spans="8:8" x14ac:dyDescent="0.25">
      <c r="H93" s="27"/>
    </row>
    <row r="94" spans="8:8" x14ac:dyDescent="0.25">
      <c r="H94" s="27"/>
    </row>
    <row r="95" spans="8:8" x14ac:dyDescent="0.25">
      <c r="H95" s="27"/>
    </row>
    <row r="96" spans="8:8" x14ac:dyDescent="0.25">
      <c r="H96" s="27"/>
    </row>
    <row r="97" spans="8:8" x14ac:dyDescent="0.25">
      <c r="H97" s="27"/>
    </row>
    <row r="98" spans="8:8" x14ac:dyDescent="0.25">
      <c r="H98" s="27"/>
    </row>
    <row r="99" spans="8:8" x14ac:dyDescent="0.25">
      <c r="H99" s="27"/>
    </row>
  </sheetData>
  <hyperlinks>
    <hyperlink ref="A2" r:id="rId1" location="Consumption" xr:uid="{3CB125B7-4F67-43BA-8166-44F376B937E9}"/>
    <hyperlink ref="A5" r:id="rId2" xr:uid="{354BCD64-8DCF-4C17-8DAC-C5642115579D}"/>
  </hyperlinks>
  <pageMargins left="0.7" right="0.7" top="0.75" bottom="0.75" header="0.3" footer="0.3"/>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DD82E-CACC-46A0-AA49-30C2276B9438}">
  <sheetPr>
    <tabColor rgb="FFD45EC6"/>
    <pageSetUpPr fitToPage="1"/>
  </sheetPr>
  <dimension ref="A1:Q62"/>
  <sheetViews>
    <sheetView workbookViewId="0">
      <pane ySplit="3" topLeftCell="A4" activePane="bottomLeft" state="frozen"/>
      <selection activeCell="C37" sqref="C37"/>
      <selection pane="bottomLeft" activeCell="K4" sqref="K4"/>
    </sheetView>
  </sheetViews>
  <sheetFormatPr defaultRowHeight="15" x14ac:dyDescent="0.25"/>
  <cols>
    <col min="1" max="1" width="16.28515625" customWidth="1"/>
    <col min="2" max="2" width="24" bestFit="1" customWidth="1"/>
    <col min="3" max="3" width="19.5703125" bestFit="1" customWidth="1"/>
    <col min="4" max="4" width="13.5703125" bestFit="1" customWidth="1"/>
    <col min="5" max="5" width="21" bestFit="1" customWidth="1"/>
    <col min="6" max="6" width="38.7109375" customWidth="1"/>
    <col min="7" max="7" width="15" bestFit="1" customWidth="1"/>
    <col min="8" max="8" width="19" bestFit="1" customWidth="1"/>
    <col min="9" max="9" width="13.28515625" bestFit="1" customWidth="1"/>
    <col min="10" max="10" width="10" bestFit="1" customWidth="1"/>
    <col min="11" max="12" width="12" bestFit="1" customWidth="1"/>
    <col min="13" max="13" width="15.5703125" bestFit="1" customWidth="1"/>
    <col min="14" max="14" width="11.7109375" bestFit="1" customWidth="1"/>
    <col min="17" max="17" width="2.28515625" customWidth="1"/>
  </cols>
  <sheetData>
    <row r="1" spans="1:17" ht="18.75" x14ac:dyDescent="0.3">
      <c r="A1" s="102" t="s">
        <v>0</v>
      </c>
    </row>
    <row r="3" spans="1:17" ht="45" x14ac:dyDescent="0.25">
      <c r="A3" s="10" t="s">
        <v>1</v>
      </c>
      <c r="B3" s="10" t="s">
        <v>2</v>
      </c>
      <c r="C3" s="10" t="s">
        <v>68</v>
      </c>
      <c r="D3" s="10" t="s">
        <v>69</v>
      </c>
      <c r="E3" s="10" t="s">
        <v>70</v>
      </c>
      <c r="F3" s="10" t="s">
        <v>71</v>
      </c>
      <c r="G3" s="29" t="s">
        <v>72</v>
      </c>
      <c r="H3" s="29" t="s">
        <v>73</v>
      </c>
      <c r="I3" s="82" t="s">
        <v>74</v>
      </c>
      <c r="J3" s="10" t="s">
        <v>75</v>
      </c>
      <c r="K3" s="10" t="s">
        <v>76</v>
      </c>
      <c r="L3" s="10" t="s">
        <v>77</v>
      </c>
      <c r="M3" s="10" t="s">
        <v>78</v>
      </c>
      <c r="N3" s="10" t="s">
        <v>67</v>
      </c>
      <c r="O3" s="10" t="s">
        <v>60</v>
      </c>
      <c r="P3" s="10" t="s">
        <v>61</v>
      </c>
    </row>
    <row r="4" spans="1:17" x14ac:dyDescent="0.25">
      <c r="A4" s="2" t="s">
        <v>9</v>
      </c>
      <c r="B4" s="2" t="s">
        <v>9</v>
      </c>
      <c r="C4" s="12">
        <v>1425</v>
      </c>
      <c r="D4" s="12">
        <v>62</v>
      </c>
      <c r="E4" s="2" t="s">
        <v>79</v>
      </c>
      <c r="F4" s="2" t="s">
        <v>80</v>
      </c>
      <c r="G4" s="12">
        <f>C4*B51</f>
        <v>1426.3373749909322</v>
      </c>
      <c r="H4" s="38">
        <f>'IFC_Non-energy Fuel Use'!D6</f>
        <v>2.4334016393442626E-2</v>
      </c>
      <c r="I4" s="13">
        <f>G4*(1-H4)</f>
        <v>1391.6288579253228</v>
      </c>
      <c r="J4" s="41">
        <f>($I4/10^6)*_xlfn.XLOOKUP($B4,'IFC_Emission Factors'!$A$12:$A$26,'IFC_Emission Factors'!$C$12:$C$26,"ERROR")</f>
        <v>0.13308146768339862</v>
      </c>
      <c r="K4" s="42">
        <f>($C4*_xlfn.XLOOKUP($A4,'IFC_Emission Factors'!$A$3:$A$7,'IFC_Emission Factors'!$B$3:$B$7,"ERROR"))/10^6</f>
        <v>1.4278499999999999E-5</v>
      </c>
      <c r="L4" s="43">
        <f>($C4*_xlfn.XLOOKUP($A4,'IFC_Emission Factors'!$A$3:$A$7,'IFC_Emission Factors'!$C$3:$C$7,"ERROR"))/10^6</f>
        <v>2.1375000000000003E-6</v>
      </c>
      <c r="M4" s="41">
        <f t="shared" ref="M4:M19" si="0">($J4*$B$24)+($K4*$B$25)+($L4*$B$26)</f>
        <v>0.13404770318339862</v>
      </c>
      <c r="N4" s="12">
        <f t="shared" ref="N4:N18" si="1">J4*10^6</f>
        <v>133081.46768339863</v>
      </c>
      <c r="O4" s="12">
        <f t="shared" ref="O4:O19" si="2">K4*10^6</f>
        <v>14.278499999999999</v>
      </c>
      <c r="P4" s="12">
        <f t="shared" ref="P4:P19" si="3">L4*10^6</f>
        <v>2.1375000000000002</v>
      </c>
    </row>
    <row r="5" spans="1:17" ht="75" x14ac:dyDescent="0.25">
      <c r="A5" s="2" t="s">
        <v>11</v>
      </c>
      <c r="B5" s="2" t="s">
        <v>11</v>
      </c>
      <c r="C5" s="12">
        <f>134128*(B33/SUM(B31:B33))</f>
        <v>11313.656877897991</v>
      </c>
      <c r="D5" s="12">
        <f>B33</f>
        <v>11024</v>
      </c>
      <c r="E5" s="2" t="s">
        <v>81</v>
      </c>
      <c r="F5" s="28" t="s">
        <v>82</v>
      </c>
      <c r="G5" s="12">
        <f>C5*B52</f>
        <v>11379.229681846818</v>
      </c>
      <c r="H5" s="38">
        <f>'IFC_Non-energy Fuel Use'!D7</f>
        <v>6.3465804773561812E-2</v>
      </c>
      <c r="I5" s="13">
        <f t="shared" ref="I5:I18" si="4">G5*(1-H5)</f>
        <v>10657.037712385209</v>
      </c>
      <c r="J5" s="41">
        <f>($I5/10^6)*_xlfn.XLOOKUP($B5,'IFC_Emission Factors'!$A$12:$A$26,'IFC_Emission Factors'!$C$12:$C$26,"ERROR")</f>
        <v>0.56397043573942529</v>
      </c>
      <c r="K5" s="42">
        <f>($C5*_xlfn.XLOOKUP($A5,'IFC_Emission Factors'!$A$3:$A$7,'IFC_Emission Factors'!$B$3:$B$7,"ERROR"))/10^6</f>
        <v>1.0747974034003091E-5</v>
      </c>
      <c r="L5" s="43">
        <f>($C5*_xlfn.XLOOKUP($A5,'IFC_Emission Factors'!$A$3:$A$7,'IFC_Emission Factors'!$C$3:$C$7,"ERROR"))/10^6</f>
        <v>1.0182291190108193E-6</v>
      </c>
      <c r="M5" s="41">
        <f t="shared" si="0"/>
        <v>0.56454120972891519</v>
      </c>
      <c r="N5" s="12">
        <f t="shared" si="1"/>
        <v>563970.43573942524</v>
      </c>
      <c r="O5" s="12">
        <f t="shared" si="2"/>
        <v>10.747974034003091</v>
      </c>
      <c r="P5" s="12">
        <f t="shared" si="3"/>
        <v>1.0182291190108193</v>
      </c>
    </row>
    <row r="6" spans="1:17" x14ac:dyDescent="0.25">
      <c r="A6" s="2" t="s">
        <v>13</v>
      </c>
      <c r="B6" s="2" t="s">
        <v>14</v>
      </c>
      <c r="C6" s="12">
        <v>7915</v>
      </c>
      <c r="D6" s="12">
        <v>1193</v>
      </c>
      <c r="E6" s="2" t="s">
        <v>83</v>
      </c>
      <c r="F6" s="2"/>
      <c r="G6" s="12">
        <f>C6</f>
        <v>7915</v>
      </c>
      <c r="H6" s="39">
        <f>'IFC_Non-energy Fuel Use'!D8</f>
        <v>1</v>
      </c>
      <c r="I6" s="13">
        <f t="shared" si="4"/>
        <v>0</v>
      </c>
      <c r="J6" s="14">
        <f>($I6/10^6)*_xlfn.XLOOKUP($B6,'IFC_Emission Factors'!$A$12:$A$26,'IFC_Emission Factors'!$C$12:$C$26,"ERROR")</f>
        <v>0</v>
      </c>
      <c r="K6" s="42">
        <f>($C6*_xlfn.XLOOKUP($A6,'IFC_Emission Factors'!$A$3:$A$7,'IFC_Emission Factors'!$B$3:$B$7,"ERROR"))/10^6</f>
        <v>2.3824149999999998E-5</v>
      </c>
      <c r="L6" s="43">
        <f>($C6*_xlfn.XLOOKUP($A6,'IFC_Emission Factors'!$A$3:$A$7,'IFC_Emission Factors'!$C$3:$C$7,"ERROR"))/10^6</f>
        <v>4.7489999999999998E-6</v>
      </c>
      <c r="M6" s="14">
        <f t="shared" si="0"/>
        <v>1.9255611999999997E-3</v>
      </c>
      <c r="N6" s="14">
        <f t="shared" si="1"/>
        <v>0</v>
      </c>
      <c r="O6" s="12">
        <f t="shared" si="2"/>
        <v>23.824149999999999</v>
      </c>
      <c r="P6" s="14">
        <f t="shared" si="3"/>
        <v>4.7489999999999997</v>
      </c>
    </row>
    <row r="7" spans="1:17" x14ac:dyDescent="0.25">
      <c r="A7" s="2" t="s">
        <v>13</v>
      </c>
      <c r="B7" s="2" t="s">
        <v>15</v>
      </c>
      <c r="C7" s="12">
        <v>11951</v>
      </c>
      <c r="D7" s="12">
        <v>2073</v>
      </c>
      <c r="E7" s="2" t="s">
        <v>83</v>
      </c>
      <c r="F7" s="2" t="s">
        <v>84</v>
      </c>
      <c r="G7" s="12">
        <f>C7*B53</f>
        <v>10393.32339385072</v>
      </c>
      <c r="H7" s="38">
        <f>'IFC_Non-energy Fuel Use'!D16</f>
        <v>6.0172217034962132E-3</v>
      </c>
      <c r="I7" s="13">
        <f t="shared" si="4"/>
        <v>10330.784462753787</v>
      </c>
      <c r="J7" s="41">
        <f>($I7/10^6)*_xlfn.XLOOKUP($B7,'IFC_Emission Factors'!$A$12:$A$26,'IFC_Emission Factors'!$C$12:$C$26,"ERROR")</f>
        <v>0.76602766791319343</v>
      </c>
      <c r="K7" s="42">
        <f>($C7*_xlfn.XLOOKUP($A7,'IFC_Emission Factors'!$A$3:$A$7,'IFC_Emission Factors'!$B$3:$B$7,"ERROR"))/10^6</f>
        <v>3.5972510000000002E-5</v>
      </c>
      <c r="L7" s="43">
        <f>($C7*_xlfn.XLOOKUP($A7,'IFC_Emission Factors'!$A$3:$A$7,'IFC_Emission Factors'!$C$3:$C$7,"ERROR"))/10^6</f>
        <v>7.1705999999999996E-6</v>
      </c>
      <c r="M7" s="41">
        <f t="shared" si="0"/>
        <v>0.76893510719319347</v>
      </c>
      <c r="N7" s="12">
        <f t="shared" si="1"/>
        <v>766027.66791319347</v>
      </c>
      <c r="O7" s="12">
        <f t="shared" si="2"/>
        <v>35.97251</v>
      </c>
      <c r="P7" s="12">
        <f t="shared" si="3"/>
        <v>7.1705999999999994</v>
      </c>
    </row>
    <row r="8" spans="1:17" x14ac:dyDescent="0.25">
      <c r="A8" s="2" t="s">
        <v>13</v>
      </c>
      <c r="B8" s="2" t="s">
        <v>17</v>
      </c>
      <c r="C8" s="12">
        <v>221</v>
      </c>
      <c r="D8" s="12">
        <v>64</v>
      </c>
      <c r="E8" s="2" t="s">
        <v>83</v>
      </c>
      <c r="F8" s="2"/>
      <c r="G8" s="2">
        <v>0</v>
      </c>
      <c r="H8" s="2"/>
      <c r="I8" s="13">
        <f t="shared" si="4"/>
        <v>0</v>
      </c>
      <c r="J8" s="14">
        <v>0</v>
      </c>
      <c r="K8" s="14"/>
      <c r="L8" s="43"/>
      <c r="M8" s="14"/>
      <c r="N8" s="14"/>
      <c r="O8" s="14"/>
      <c r="P8" s="14"/>
    </row>
    <row r="9" spans="1:17" ht="30" x14ac:dyDescent="0.25">
      <c r="A9" s="2" t="s">
        <v>13</v>
      </c>
      <c r="B9" s="2" t="s">
        <v>18</v>
      </c>
      <c r="C9" s="12">
        <v>900</v>
      </c>
      <c r="D9" s="12">
        <v>234</v>
      </c>
      <c r="E9" s="2" t="s">
        <v>83</v>
      </c>
      <c r="F9" s="28" t="s">
        <v>85</v>
      </c>
      <c r="G9" s="30">
        <f>C9</f>
        <v>900</v>
      </c>
      <c r="H9" s="38">
        <f>'IFC_Non-energy Fuel Use'!D9</f>
        <v>0.85979548680513307</v>
      </c>
      <c r="I9" s="13">
        <f t="shared" si="4"/>
        <v>126.18406187538024</v>
      </c>
      <c r="J9" s="41">
        <f>($I9/10^6)*_xlfn.XLOOKUP($B9,'IFC_Emission Factors'!$A$12:$A$26,'IFC_Emission Factors'!$C$12:$C$26,"ERROR")</f>
        <v>8.2070113843747319E-3</v>
      </c>
      <c r="K9" s="43">
        <f>($C9*_xlfn.XLOOKUP($A9,'IFC_Emission Factors'!$A$3:$A$7,'IFC_Emission Factors'!$B$3:$B$7,"ERROR"))/10^6</f>
        <v>2.7090000000000002E-6</v>
      </c>
      <c r="L9" s="44">
        <f>($C9*_xlfn.XLOOKUP($A9,'IFC_Emission Factors'!$A$3:$A$7,'IFC_Emission Factors'!$C$3:$C$7,"ERROR"))/10^6</f>
        <v>5.3999999999999991E-7</v>
      </c>
      <c r="M9" s="41">
        <f t="shared" si="0"/>
        <v>8.4259633843747316E-3</v>
      </c>
      <c r="N9" s="12">
        <f t="shared" si="1"/>
        <v>8207.0113843747313</v>
      </c>
      <c r="O9" s="12">
        <f t="shared" si="2"/>
        <v>2.7090000000000001</v>
      </c>
      <c r="P9" s="41">
        <f t="shared" si="3"/>
        <v>0.53999999999999992</v>
      </c>
    </row>
    <row r="10" spans="1:17" x14ac:dyDescent="0.25">
      <c r="A10" s="2" t="s">
        <v>13</v>
      </c>
      <c r="B10" s="2" t="s">
        <v>19</v>
      </c>
      <c r="C10" s="12">
        <v>2</v>
      </c>
      <c r="D10" s="12"/>
      <c r="E10" s="2" t="s">
        <v>86</v>
      </c>
      <c r="F10" s="2" t="s">
        <v>87</v>
      </c>
      <c r="G10" s="12">
        <f>C10</f>
        <v>2</v>
      </c>
      <c r="H10" s="40"/>
      <c r="I10" s="13">
        <f t="shared" si="4"/>
        <v>2</v>
      </c>
      <c r="J10" s="46">
        <f>($I10/10^6)*_xlfn.XLOOKUP($B10,'IFC_Emission Factors'!$A$12:$A$26,'IFC_Emission Factors'!$C$12:$C$26,"ERROR")</f>
        <v>1.4640000000000001E-4</v>
      </c>
      <c r="K10" s="47">
        <f>($C10*_xlfn.XLOOKUP($A10,'IFC_Emission Factors'!$A$3:$A$7,'IFC_Emission Factors'!$B$3:$B$7,"ERROR"))/10^6</f>
        <v>6.0200000000000003E-9</v>
      </c>
      <c r="L10" s="48">
        <f>($C10*_xlfn.XLOOKUP($A10,'IFC_Emission Factors'!$A$3:$A$7,'IFC_Emission Factors'!$C$3:$C$7,"ERROR"))/10^6</f>
        <v>1.2E-9</v>
      </c>
      <c r="M10" s="46">
        <f t="shared" si="0"/>
        <v>1.4688656E-4</v>
      </c>
      <c r="N10" s="12">
        <f t="shared" si="1"/>
        <v>146.4</v>
      </c>
      <c r="O10" s="41">
        <f t="shared" si="2"/>
        <v>6.0200000000000002E-3</v>
      </c>
      <c r="P10" s="49">
        <f t="shared" si="3"/>
        <v>1.1999999999999999E-3</v>
      </c>
    </row>
    <row r="11" spans="1:17" x14ac:dyDescent="0.25">
      <c r="A11" s="2" t="s">
        <v>13</v>
      </c>
      <c r="B11" s="2" t="s">
        <v>20</v>
      </c>
      <c r="C11" s="12">
        <v>923</v>
      </c>
      <c r="D11" s="12">
        <v>152</v>
      </c>
      <c r="E11" s="2" t="s">
        <v>83</v>
      </c>
      <c r="F11" s="2"/>
      <c r="G11" s="12">
        <f>C11</f>
        <v>923</v>
      </c>
      <c r="H11" s="39">
        <f>'IFC_Non-energy Fuel Use'!D10</f>
        <v>1</v>
      </c>
      <c r="I11" s="13">
        <f t="shared" si="4"/>
        <v>0</v>
      </c>
      <c r="J11" s="14">
        <f>($I11/10^6)*_xlfn.XLOOKUP($B11,'IFC_Emission Factors'!$A$12:$A$26,'IFC_Emission Factors'!$C$12:$C$26,"ERROR")</f>
        <v>0</v>
      </c>
      <c r="K11" s="43">
        <f>($C11*_xlfn.XLOOKUP($A11,'IFC_Emission Factors'!$A$3:$A$7,'IFC_Emission Factors'!$B$3:$B$7,"ERROR"))/10^6</f>
        <v>2.7782300000000003E-6</v>
      </c>
      <c r="L11" s="44">
        <f>($C11*_xlfn.XLOOKUP($A11,'IFC_Emission Factors'!$A$3:$A$7,'IFC_Emission Factors'!$C$3:$C$7,"ERROR"))/10^6</f>
        <v>5.538E-7</v>
      </c>
      <c r="M11" s="14">
        <f t="shared" si="0"/>
        <v>2.2454743999999999E-4</v>
      </c>
      <c r="N11" s="14">
        <f t="shared" si="1"/>
        <v>0</v>
      </c>
      <c r="O11" s="12">
        <f t="shared" si="2"/>
        <v>2.7782300000000002</v>
      </c>
      <c r="P11" s="14">
        <f t="shared" si="3"/>
        <v>0.55379999999999996</v>
      </c>
    </row>
    <row r="12" spans="1:17" x14ac:dyDescent="0.25">
      <c r="A12" s="2" t="s">
        <v>13</v>
      </c>
      <c r="B12" s="2" t="s">
        <v>21</v>
      </c>
      <c r="C12" s="12">
        <v>2775</v>
      </c>
      <c r="D12" s="12">
        <v>593</v>
      </c>
      <c r="E12" s="2" t="s">
        <v>83</v>
      </c>
      <c r="F12" s="2" t="s">
        <v>88</v>
      </c>
      <c r="G12" s="12">
        <f>C12*B54</f>
        <v>3196.5544649884132</v>
      </c>
      <c r="H12" s="40"/>
      <c r="I12" s="13">
        <f t="shared" si="4"/>
        <v>3196.5544649884132</v>
      </c>
      <c r="J12" s="41">
        <f>($I12/10^6)*_xlfn.XLOOKUP($B12,'IFC_Emission Factors'!$A$12:$A$26,'IFC_Emission Factors'!$C$12:$C$26,"ERROR")</f>
        <v>0.22583657295143139</v>
      </c>
      <c r="K12" s="42">
        <f>($C12*_xlfn.XLOOKUP($A12,'IFC_Emission Factors'!$A$3:$A$7,'IFC_Emission Factors'!$B$3:$B$7,"ERROR"))/10^6</f>
        <v>8.3527500000000006E-6</v>
      </c>
      <c r="L12" s="43">
        <f>($C12*_xlfn.XLOOKUP($A12,'IFC_Emission Factors'!$A$3:$A$7,'IFC_Emission Factors'!$C$3:$C$7,"ERROR"))/10^6</f>
        <v>1.6649999999999997E-6</v>
      </c>
      <c r="M12" s="41">
        <f t="shared" si="0"/>
        <v>0.22651167495143137</v>
      </c>
      <c r="N12" s="12">
        <f t="shared" si="1"/>
        <v>225836.57295143139</v>
      </c>
      <c r="O12" s="12">
        <f t="shared" si="2"/>
        <v>8.3527500000000003</v>
      </c>
      <c r="P12" s="12">
        <f t="shared" si="3"/>
        <v>1.6649999999999998</v>
      </c>
    </row>
    <row r="13" spans="1:17" x14ac:dyDescent="0.25">
      <c r="A13" s="2" t="s">
        <v>13</v>
      </c>
      <c r="B13" s="2" t="s">
        <v>23</v>
      </c>
      <c r="C13" s="12">
        <v>16</v>
      </c>
      <c r="D13" s="12">
        <v>3</v>
      </c>
      <c r="E13" s="2" t="s">
        <v>83</v>
      </c>
      <c r="F13" s="2"/>
      <c r="G13" s="12">
        <f>C13</f>
        <v>16</v>
      </c>
      <c r="H13" s="39">
        <f>'IFC_Non-energy Fuel Use'!D18</f>
        <v>1</v>
      </c>
      <c r="I13" s="13">
        <f t="shared" si="4"/>
        <v>0</v>
      </c>
      <c r="J13" s="14">
        <f>($I13/10^6)*_xlfn.XLOOKUP($B13,'IFC_Emission Factors'!$A$12:$A$26,'IFC_Emission Factors'!$C$12:$C$26,"ERROR")</f>
        <v>0</v>
      </c>
      <c r="K13" s="47">
        <f>($C13*_xlfn.XLOOKUP($A13,'IFC_Emission Factors'!$A$3:$A$7,'IFC_Emission Factors'!$B$3:$B$7,"ERROR"))/10^6</f>
        <v>4.8160000000000002E-8</v>
      </c>
      <c r="L13" s="47">
        <f>($C13*_xlfn.XLOOKUP($A13,'IFC_Emission Factors'!$A$3:$A$7,'IFC_Emission Factors'!$C$3:$C$7,"ERROR"))/10^6</f>
        <v>9.5999999999999999E-9</v>
      </c>
      <c r="M13" s="14">
        <f t="shared" si="0"/>
        <v>3.8924800000000007E-6</v>
      </c>
      <c r="N13" s="14">
        <f t="shared" si="1"/>
        <v>0</v>
      </c>
      <c r="O13" s="41">
        <f t="shared" si="2"/>
        <v>4.8160000000000001E-2</v>
      </c>
      <c r="P13" s="14">
        <f t="shared" si="3"/>
        <v>9.5999999999999992E-3</v>
      </c>
    </row>
    <row r="14" spans="1:17" x14ac:dyDescent="0.25">
      <c r="A14" s="53" t="s">
        <v>13</v>
      </c>
      <c r="B14" s="53" t="s">
        <v>24</v>
      </c>
      <c r="C14" s="54">
        <v>9221</v>
      </c>
      <c r="D14" s="54">
        <v>1467</v>
      </c>
      <c r="E14" s="53" t="s">
        <v>83</v>
      </c>
      <c r="F14" s="53"/>
      <c r="G14" s="54">
        <f>C14</f>
        <v>9221</v>
      </c>
      <c r="H14" s="53"/>
      <c r="I14" s="54">
        <f t="shared" si="4"/>
        <v>9221</v>
      </c>
      <c r="J14" s="55"/>
      <c r="K14" s="56"/>
      <c r="L14" s="57"/>
      <c r="M14" s="55"/>
      <c r="N14" s="54"/>
      <c r="O14" s="54"/>
      <c r="P14" s="54"/>
      <c r="Q14" s="58"/>
    </row>
    <row r="15" spans="1:17" x14ac:dyDescent="0.25">
      <c r="A15" s="2" t="s">
        <v>13</v>
      </c>
      <c r="B15" s="2" t="s">
        <v>25</v>
      </c>
      <c r="C15" s="12">
        <v>1892</v>
      </c>
      <c r="D15" s="12">
        <v>301</v>
      </c>
      <c r="E15" s="2" t="s">
        <v>83</v>
      </c>
      <c r="F15" s="2"/>
      <c r="G15" s="12">
        <f>C15*B55</f>
        <v>1891.6955789890587</v>
      </c>
      <c r="H15" s="39">
        <f>'IFC_Non-energy Fuel Use'!D14</f>
        <v>0</v>
      </c>
      <c r="I15" s="13">
        <f t="shared" si="4"/>
        <v>1891.6955789890587</v>
      </c>
      <c r="J15" s="41">
        <f>($I15/10^6)*_xlfn.XLOOKUP($B15,'IFC_Emission Factors'!$A$12:$A$26,'IFC_Emission Factors'!$C$12:$C$26,"ERROR")</f>
        <v>0.19316103557057279</v>
      </c>
      <c r="K15" s="42">
        <f>($C15*_xlfn.XLOOKUP($A15,'IFC_Emission Factors'!$A$3:$A$7,'IFC_Emission Factors'!$B$3:$B$7,"ERROR"))/10^6</f>
        <v>5.69492E-6</v>
      </c>
      <c r="L15" s="43">
        <f>($C15*_xlfn.XLOOKUP($A15,'IFC_Emission Factors'!$A$3:$A$7,'IFC_Emission Factors'!$C$3:$C$7,"ERROR"))/10^6</f>
        <v>1.1351999999999999E-6</v>
      </c>
      <c r="M15" s="41">
        <f t="shared" si="0"/>
        <v>0.1936213213305728</v>
      </c>
      <c r="N15" s="12">
        <f t="shared" si="1"/>
        <v>193161.0355705728</v>
      </c>
      <c r="O15" s="12">
        <f t="shared" si="2"/>
        <v>5.6949199999999998</v>
      </c>
      <c r="P15" s="12">
        <f t="shared" si="3"/>
        <v>1.1352</v>
      </c>
    </row>
    <row r="16" spans="1:17" x14ac:dyDescent="0.25">
      <c r="A16" s="2" t="s">
        <v>13</v>
      </c>
      <c r="B16" s="2" t="s">
        <v>26</v>
      </c>
      <c r="C16" s="12">
        <v>900</v>
      </c>
      <c r="D16" s="12">
        <v>234</v>
      </c>
      <c r="E16" s="2" t="s">
        <v>83</v>
      </c>
      <c r="F16" s="2"/>
      <c r="G16" s="12">
        <f>C16</f>
        <v>900</v>
      </c>
      <c r="H16" s="2"/>
      <c r="I16" s="13">
        <f t="shared" si="4"/>
        <v>900</v>
      </c>
      <c r="J16" s="41">
        <f>($I16/10^6)*_xlfn.XLOOKUP($B16,'IFC_Emission Factors'!$A$12:$A$26,'IFC_Emission Factors'!$C$12:$C$26,"ERROR")</f>
        <v>5.6582999999999994E-2</v>
      </c>
      <c r="K16" s="43">
        <f>($C16*_xlfn.XLOOKUP($A16,'IFC_Emission Factors'!$A$3:$A$7,'IFC_Emission Factors'!$B$3:$B$7,"ERROR"))/10^6</f>
        <v>2.7090000000000002E-6</v>
      </c>
      <c r="L16" s="43">
        <f>($C16*_xlfn.XLOOKUP($A16,'IFC_Emission Factors'!$A$3:$A$7,'IFC_Emission Factors'!$C$3:$C$7,"ERROR"))/10^6</f>
        <v>5.3999999999999991E-7</v>
      </c>
      <c r="M16" s="41">
        <f t="shared" si="0"/>
        <v>5.6801951999999996E-2</v>
      </c>
      <c r="N16" s="12">
        <f t="shared" si="1"/>
        <v>56582.999999999993</v>
      </c>
      <c r="O16" s="12">
        <f t="shared" si="2"/>
        <v>2.7090000000000001</v>
      </c>
      <c r="P16" s="12">
        <f t="shared" si="3"/>
        <v>0.53999999999999992</v>
      </c>
    </row>
    <row r="17" spans="1:16" x14ac:dyDescent="0.25">
      <c r="A17" s="2" t="s">
        <v>13</v>
      </c>
      <c r="B17" s="2" t="s">
        <v>27</v>
      </c>
      <c r="C17" s="12">
        <v>9190</v>
      </c>
      <c r="D17" s="12">
        <v>1462</v>
      </c>
      <c r="E17" s="2" t="s">
        <v>83</v>
      </c>
      <c r="F17" s="2"/>
      <c r="G17" s="12">
        <f>C17</f>
        <v>9190</v>
      </c>
      <c r="H17" s="38">
        <f>'IFC_Non-energy Fuel Use'!D13</f>
        <v>0.10352159468438539</v>
      </c>
      <c r="I17" s="13">
        <f t="shared" si="4"/>
        <v>8238.6365448504985</v>
      </c>
      <c r="J17" s="41">
        <f>($I17/10^6)*_xlfn.XLOOKUP($B17,'IFC_Emission Factors'!$A$12:$A$26,'IFC_Emission Factors'!$C$12:$C$26,"ERROR")</f>
        <v>0.54968183027242523</v>
      </c>
      <c r="K17" s="42">
        <f>($C17*_xlfn.XLOOKUP($A17,'IFC_Emission Factors'!$A$3:$A$7,'IFC_Emission Factors'!$B$3:$B$7,"ERROR"))/10^6</f>
        <v>2.76619E-5</v>
      </c>
      <c r="L17" s="43">
        <f>($C17*_xlfn.XLOOKUP($A17,'IFC_Emission Factors'!$A$3:$A$7,'IFC_Emission Factors'!$C$3:$C$7,"ERROR"))/10^6</f>
        <v>5.5139999999999992E-6</v>
      </c>
      <c r="M17" s="41">
        <f t="shared" si="0"/>
        <v>0.5519175734724252</v>
      </c>
      <c r="N17" s="12">
        <f t="shared" si="1"/>
        <v>549681.8302724252</v>
      </c>
      <c r="O17" s="12">
        <f t="shared" si="2"/>
        <v>27.661899999999999</v>
      </c>
      <c r="P17" s="12">
        <f t="shared" si="3"/>
        <v>5.5139999999999993</v>
      </c>
    </row>
    <row r="18" spans="1:16" x14ac:dyDescent="0.25">
      <c r="A18" s="2" t="s">
        <v>13</v>
      </c>
      <c r="B18" s="2" t="s">
        <v>28</v>
      </c>
      <c r="C18" s="12">
        <v>18</v>
      </c>
      <c r="D18" s="12">
        <v>3</v>
      </c>
      <c r="E18" s="2" t="s">
        <v>83</v>
      </c>
      <c r="F18" s="2"/>
      <c r="G18" s="12">
        <f>C18</f>
        <v>18</v>
      </c>
      <c r="H18" s="39">
        <f>'IFC_Non-energy Fuel Use'!D17</f>
        <v>1</v>
      </c>
      <c r="I18" s="13">
        <f t="shared" si="4"/>
        <v>0</v>
      </c>
      <c r="J18" s="14">
        <f>($I18/10^6)*_xlfn.XLOOKUP($B18,'IFC_Emission Factors'!$A$12:$A$26,'IFC_Emission Factors'!$C$12:$C$26,"ERROR")</f>
        <v>0</v>
      </c>
      <c r="K18" s="44">
        <f>($C18*_xlfn.XLOOKUP($A18,'IFC_Emission Factors'!$A$3:$A$7,'IFC_Emission Factors'!$B$3:$B$7,"ERROR"))/10^6</f>
        <v>5.4179999999999999E-8</v>
      </c>
      <c r="L18" s="47">
        <f>($C18*_xlfn.XLOOKUP($A18,'IFC_Emission Factors'!$A$3:$A$7,'IFC_Emission Factors'!$C$3:$C$7,"ERROR"))/10^6</f>
        <v>1.0799999999999999E-8</v>
      </c>
      <c r="M18" s="43">
        <f t="shared" si="0"/>
        <v>4.3790399999999993E-6</v>
      </c>
      <c r="N18" s="14">
        <f t="shared" si="1"/>
        <v>0</v>
      </c>
      <c r="O18" s="45">
        <f t="shared" si="2"/>
        <v>5.4179999999999999E-2</v>
      </c>
      <c r="P18" s="14">
        <f t="shared" si="3"/>
        <v>1.0799999999999999E-2</v>
      </c>
    </row>
    <row r="19" spans="1:16" x14ac:dyDescent="0.25">
      <c r="A19" s="50" t="s">
        <v>29</v>
      </c>
      <c r="B19" s="50" t="s">
        <v>29</v>
      </c>
      <c r="C19" s="51">
        <v>6</v>
      </c>
      <c r="D19" s="51"/>
      <c r="E19" s="50"/>
      <c r="F19" s="50" t="s">
        <v>87</v>
      </c>
      <c r="G19" s="21"/>
      <c r="H19" s="21"/>
      <c r="I19" s="22"/>
      <c r="J19" s="21"/>
      <c r="K19" s="44">
        <f>($C19*_xlfn.XLOOKUP($A19,'IFC_Emission Factors'!$A$3:$A$7,'IFC_Emission Factors'!$B$3:$B$7,"ERROR"))/10^6</f>
        <v>1.7094000000000002E-7</v>
      </c>
      <c r="L19" s="47">
        <f>($C19*_xlfn.XLOOKUP($A19,'IFC_Emission Factors'!$A$3:$A$7,'IFC_Emission Factors'!$C$3:$C$7,"ERROR"))/10^6</f>
        <v>2.2800000000000002E-8</v>
      </c>
      <c r="M19" s="42">
        <f t="shared" si="0"/>
        <v>1.0828320000000001E-5</v>
      </c>
      <c r="N19" s="21"/>
      <c r="O19" s="45">
        <f t="shared" si="2"/>
        <v>0.17094000000000001</v>
      </c>
      <c r="P19" s="14">
        <f t="shared" si="3"/>
        <v>2.2800000000000001E-2</v>
      </c>
    </row>
    <row r="20" spans="1:16" x14ac:dyDescent="0.25">
      <c r="A20" s="21" t="s">
        <v>89</v>
      </c>
      <c r="B20" s="21" t="s">
        <v>89</v>
      </c>
      <c r="C20" s="22">
        <v>39790</v>
      </c>
      <c r="D20" s="22">
        <v>11662</v>
      </c>
      <c r="E20" s="21" t="s">
        <v>90</v>
      </c>
      <c r="F20" s="21"/>
      <c r="G20" s="21"/>
      <c r="H20" s="21"/>
      <c r="I20" s="22">
        <f t="shared" ref="I20" si="5">C20*(1-H20)</f>
        <v>39790</v>
      </c>
      <c r="J20" s="21"/>
      <c r="K20" s="21"/>
      <c r="L20" s="21"/>
      <c r="M20" s="21"/>
      <c r="N20" s="21"/>
      <c r="O20" s="21"/>
      <c r="P20" s="21"/>
    </row>
    <row r="21" spans="1:16" x14ac:dyDescent="0.25">
      <c r="J21" s="23">
        <f>SUM(J4:J19)</f>
        <v>2.4966954215148216</v>
      </c>
      <c r="K21" s="24">
        <f>SUM(K4:K19)</f>
        <v>1.3500823403400308E-4</v>
      </c>
      <c r="L21" s="25">
        <f>SUM(L4:L19)</f>
        <v>2.5067729119010812E-5</v>
      </c>
      <c r="M21" s="23">
        <f>SUM(M4:M19)</f>
        <v>2.5071186002843118</v>
      </c>
      <c r="N21" s="26">
        <f>SUM(N4:N18)</f>
        <v>2496695.4215148212</v>
      </c>
      <c r="O21" s="26">
        <f>SUM(O4:O19)</f>
        <v>135.0082340340031</v>
      </c>
      <c r="P21" s="26">
        <f>SUM(P4:P19)</f>
        <v>25.067729119010814</v>
      </c>
    </row>
    <row r="22" spans="1:16" x14ac:dyDescent="0.25">
      <c r="C22" s="8"/>
      <c r="D22" s="8"/>
      <c r="G22" s="8"/>
      <c r="I22" s="77"/>
      <c r="J22" s="8"/>
      <c r="K22" s="78"/>
    </row>
    <row r="23" spans="1:16" x14ac:dyDescent="0.25">
      <c r="A23" t="s">
        <v>91</v>
      </c>
      <c r="F23" s="8"/>
      <c r="I23" s="79"/>
      <c r="J23" s="7"/>
      <c r="K23" s="78"/>
      <c r="L23" s="80"/>
      <c r="M23" s="27"/>
      <c r="N23" s="8"/>
      <c r="O23" s="8"/>
      <c r="P23" s="8"/>
    </row>
    <row r="24" spans="1:16" x14ac:dyDescent="0.25">
      <c r="A24" t="s">
        <v>92</v>
      </c>
      <c r="B24">
        <v>1</v>
      </c>
      <c r="D24">
        <f>C5/D5</f>
        <v>1.0262751159196291</v>
      </c>
      <c r="E24" t="s">
        <v>93</v>
      </c>
      <c r="K24" s="15"/>
      <c r="L24" s="15"/>
    </row>
    <row r="25" spans="1:16" x14ac:dyDescent="0.25">
      <c r="A25" t="s">
        <v>94</v>
      </c>
      <c r="B25">
        <v>28</v>
      </c>
      <c r="D25">
        <f>D24*B33</f>
        <v>11313.656877897991</v>
      </c>
      <c r="E25" s="8" t="s">
        <v>95</v>
      </c>
    </row>
    <row r="26" spans="1:16" x14ac:dyDescent="0.25">
      <c r="A26" t="s">
        <v>96</v>
      </c>
      <c r="B26">
        <v>265</v>
      </c>
      <c r="D26">
        <f>D25/C5</f>
        <v>1</v>
      </c>
    </row>
    <row r="30" spans="1:16" x14ac:dyDescent="0.25">
      <c r="A30" t="s">
        <v>97</v>
      </c>
    </row>
    <row r="31" spans="1:16" x14ac:dyDescent="0.25">
      <c r="A31" t="s">
        <v>98</v>
      </c>
      <c r="B31" s="8">
        <v>77900</v>
      </c>
      <c r="C31" t="s">
        <v>81</v>
      </c>
    </row>
    <row r="32" spans="1:16" x14ac:dyDescent="0.25">
      <c r="A32" t="s">
        <v>99</v>
      </c>
      <c r="B32" s="8">
        <v>41770</v>
      </c>
      <c r="C32" t="s">
        <v>81</v>
      </c>
      <c r="D32" s="5"/>
      <c r="F32" t="s">
        <v>100</v>
      </c>
    </row>
    <row r="33" spans="1:4" x14ac:dyDescent="0.25">
      <c r="A33" t="s">
        <v>101</v>
      </c>
      <c r="B33" s="8">
        <v>11024</v>
      </c>
      <c r="C33" t="s">
        <v>81</v>
      </c>
      <c r="D33" s="5"/>
    </row>
    <row r="34" spans="1:4" x14ac:dyDescent="0.25">
      <c r="A34" t="s">
        <v>102</v>
      </c>
    </row>
    <row r="37" spans="1:4" x14ac:dyDescent="0.25">
      <c r="A37" s="4" t="s">
        <v>103</v>
      </c>
    </row>
    <row r="38" spans="1:4" x14ac:dyDescent="0.25">
      <c r="A38" t="s">
        <v>104</v>
      </c>
    </row>
    <row r="39" spans="1:4" x14ac:dyDescent="0.25">
      <c r="A39" t="s">
        <v>105</v>
      </c>
    </row>
    <row r="40" spans="1:4" x14ac:dyDescent="0.25">
      <c r="A40" t="s">
        <v>106</v>
      </c>
    </row>
    <row r="41" spans="1:4" x14ac:dyDescent="0.25">
      <c r="A41" t="s">
        <v>107</v>
      </c>
    </row>
    <row r="42" spans="1:4" x14ac:dyDescent="0.25">
      <c r="A42" t="s">
        <v>108</v>
      </c>
    </row>
    <row r="43" spans="1:4" x14ac:dyDescent="0.25">
      <c r="A43" t="s">
        <v>109</v>
      </c>
    </row>
    <row r="44" spans="1:4" x14ac:dyDescent="0.25">
      <c r="A44" t="s">
        <v>110</v>
      </c>
    </row>
    <row r="45" spans="1:4" x14ac:dyDescent="0.25">
      <c r="A45" t="s">
        <v>111</v>
      </c>
    </row>
    <row r="46" spans="1:4" x14ac:dyDescent="0.25">
      <c r="A46" t="s">
        <v>112</v>
      </c>
    </row>
    <row r="47" spans="1:4" x14ac:dyDescent="0.25">
      <c r="A47" t="s">
        <v>113</v>
      </c>
    </row>
    <row r="48" spans="1:4" x14ac:dyDescent="0.25">
      <c r="A48" t="s">
        <v>114</v>
      </c>
    </row>
    <row r="49" spans="1:4" x14ac:dyDescent="0.25">
      <c r="A49" t="s">
        <v>115</v>
      </c>
    </row>
    <row r="50" spans="1:4" x14ac:dyDescent="0.25">
      <c r="A50" t="s">
        <v>116</v>
      </c>
    </row>
    <row r="51" spans="1:4" x14ac:dyDescent="0.25">
      <c r="A51" t="s">
        <v>117</v>
      </c>
      <c r="B51">
        <f>459.066794124054/458.636359880099</f>
        <v>1.0009385087655664</v>
      </c>
      <c r="C51" s="367" t="s">
        <v>118</v>
      </c>
      <c r="D51" s="367" t="s">
        <v>119</v>
      </c>
    </row>
    <row r="52" spans="1:4" x14ac:dyDescent="0.25">
      <c r="A52" t="s">
        <v>120</v>
      </c>
      <c r="B52">
        <f>10374.3178249788/10314.5358249788</f>
        <v>1.0057958982366637</v>
      </c>
      <c r="C52" s="367" t="s">
        <v>121</v>
      </c>
    </row>
    <row r="53" spans="1:4" x14ac:dyDescent="0.25">
      <c r="A53" t="s">
        <v>122</v>
      </c>
      <c r="B53">
        <f>1041.55230579414/1197.652679018</f>
        <v>0.86966140020506399</v>
      </c>
      <c r="C53" s="367" t="s">
        <v>123</v>
      </c>
    </row>
    <row r="54" spans="1:4" x14ac:dyDescent="0.25">
      <c r="A54" t="s">
        <v>124</v>
      </c>
      <c r="B54">
        <f>295.556305611626/256.579</f>
        <v>1.1519115189147435</v>
      </c>
      <c r="C54" s="367" t="s">
        <v>125</v>
      </c>
    </row>
    <row r="55" spans="1:4" x14ac:dyDescent="0.25">
      <c r="A55" t="s">
        <v>126</v>
      </c>
      <c r="B55">
        <f>484.698/484.776</f>
        <v>0.99983910094559125</v>
      </c>
      <c r="C55" s="367" t="s">
        <v>127</v>
      </c>
    </row>
    <row r="57" spans="1:4" x14ac:dyDescent="0.25">
      <c r="A57" s="4" t="s">
        <v>128</v>
      </c>
    </row>
    <row r="58" spans="1:4" x14ac:dyDescent="0.25">
      <c r="A58" t="s">
        <v>129</v>
      </c>
    </row>
    <row r="59" spans="1:4" x14ac:dyDescent="0.25">
      <c r="A59" t="s">
        <v>130</v>
      </c>
    </row>
    <row r="60" spans="1:4" x14ac:dyDescent="0.25">
      <c r="A60" t="s">
        <v>131</v>
      </c>
    </row>
    <row r="62" spans="1:4" x14ac:dyDescent="0.25">
      <c r="A62" t="s">
        <v>132</v>
      </c>
    </row>
  </sheetData>
  <pageMargins left="0.7" right="0.7" top="0.75" bottom="0.75" header="0.3" footer="0.3"/>
  <pageSetup scale="38" orientation="landscape" horizontalDpi="4294967293" verticalDpi="36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BDF00-9161-4867-9946-C41686A22F39}">
  <sheetPr>
    <tabColor rgb="FFD45EC6"/>
    <pageSetUpPr fitToPage="1"/>
  </sheetPr>
  <dimension ref="A1:E26"/>
  <sheetViews>
    <sheetView workbookViewId="0">
      <selection activeCell="B4" sqref="B4"/>
    </sheetView>
  </sheetViews>
  <sheetFormatPr defaultRowHeight="15" x14ac:dyDescent="0.25"/>
  <cols>
    <col min="1" max="1" width="31.85546875" customWidth="1"/>
    <col min="2" max="2" width="19.140625" bestFit="1" customWidth="1"/>
    <col min="3" max="3" width="21.5703125" bestFit="1" customWidth="1"/>
    <col min="5" max="5" width="7" bestFit="1" customWidth="1"/>
  </cols>
  <sheetData>
    <row r="1" spans="1:5" ht="18.75" x14ac:dyDescent="0.3">
      <c r="A1" s="102" t="s">
        <v>0</v>
      </c>
    </row>
    <row r="3" spans="1:5" x14ac:dyDescent="0.25">
      <c r="A3" s="10" t="s">
        <v>1</v>
      </c>
      <c r="B3" s="11" t="s">
        <v>133</v>
      </c>
      <c r="C3" s="11" t="s">
        <v>134</v>
      </c>
      <c r="E3" t="s">
        <v>1308</v>
      </c>
    </row>
    <row r="4" spans="1:5" x14ac:dyDescent="0.25">
      <c r="A4" s="2" t="s">
        <v>9</v>
      </c>
      <c r="B4" s="18" t="s">
        <v>135</v>
      </c>
      <c r="C4" s="18" t="s">
        <v>136</v>
      </c>
    </row>
    <row r="5" spans="1:5" x14ac:dyDescent="0.25">
      <c r="A5" s="2" t="s">
        <v>11</v>
      </c>
      <c r="B5" s="18" t="s">
        <v>137</v>
      </c>
      <c r="C5" s="18" t="s">
        <v>138</v>
      </c>
    </row>
    <row r="6" spans="1:5" x14ac:dyDescent="0.25">
      <c r="A6" s="2" t="s">
        <v>13</v>
      </c>
      <c r="B6" s="18" t="s">
        <v>139</v>
      </c>
      <c r="C6" s="18" t="s">
        <v>140</v>
      </c>
    </row>
    <row r="7" spans="1:5" x14ac:dyDescent="0.25">
      <c r="A7" s="2" t="s">
        <v>29</v>
      </c>
      <c r="B7" s="18" t="s">
        <v>141</v>
      </c>
      <c r="C7" s="18" t="s">
        <v>142</v>
      </c>
    </row>
    <row r="10" spans="1:5" x14ac:dyDescent="0.25">
      <c r="A10" s="1" t="s">
        <v>143</v>
      </c>
    </row>
    <row r="11" spans="1:5" ht="45" x14ac:dyDescent="0.25">
      <c r="A11" s="3" t="s">
        <v>144</v>
      </c>
      <c r="B11" s="3" t="s">
        <v>145</v>
      </c>
      <c r="C11" s="19" t="s">
        <v>146</v>
      </c>
      <c r="E11" t="s">
        <v>147</v>
      </c>
    </row>
    <row r="12" spans="1:5" x14ac:dyDescent="0.25">
      <c r="A12" s="1" t="s">
        <v>35</v>
      </c>
      <c r="B12" s="1">
        <v>2023</v>
      </c>
      <c r="C12" s="9">
        <v>2023</v>
      </c>
    </row>
    <row r="13" spans="1:5" x14ac:dyDescent="0.25">
      <c r="A13" s="2" t="s">
        <v>9</v>
      </c>
      <c r="B13">
        <v>26.12</v>
      </c>
      <c r="C13" s="20">
        <v>95.63</v>
      </c>
      <c r="D13" s="16"/>
    </row>
    <row r="14" spans="1:5" x14ac:dyDescent="0.25">
      <c r="A14" s="2" t="s">
        <v>11</v>
      </c>
      <c r="B14">
        <v>14.43</v>
      </c>
      <c r="C14" s="20">
        <v>52.92</v>
      </c>
    </row>
    <row r="15" spans="1:5" x14ac:dyDescent="0.25">
      <c r="A15" s="2" t="s">
        <v>14</v>
      </c>
      <c r="B15">
        <v>20.55</v>
      </c>
      <c r="C15" s="20">
        <v>75.36</v>
      </c>
    </row>
    <row r="16" spans="1:5" x14ac:dyDescent="0.25">
      <c r="A16" s="2" t="s">
        <v>15</v>
      </c>
      <c r="B16">
        <v>20.22</v>
      </c>
      <c r="C16" s="20">
        <v>74.150000000000006</v>
      </c>
    </row>
    <row r="17" spans="1:4" x14ac:dyDescent="0.25">
      <c r="A17" s="2" t="s">
        <v>19</v>
      </c>
      <c r="B17">
        <v>19.96</v>
      </c>
      <c r="C17" s="20">
        <v>73.2</v>
      </c>
      <c r="D17" s="17"/>
    </row>
    <row r="18" spans="1:4" x14ac:dyDescent="0.25">
      <c r="A18" s="2" t="s">
        <v>26</v>
      </c>
      <c r="B18">
        <v>17.149999999999999</v>
      </c>
      <c r="C18" s="20">
        <v>62.87</v>
      </c>
      <c r="D18" s="16"/>
    </row>
    <row r="19" spans="1:4" x14ac:dyDescent="0.25">
      <c r="A19" s="2" t="s">
        <v>18</v>
      </c>
      <c r="B19">
        <v>17.77</v>
      </c>
      <c r="C19" s="20">
        <v>65.040000000000006</v>
      </c>
      <c r="D19" s="16"/>
    </row>
    <row r="20" spans="1:4" x14ac:dyDescent="0.25">
      <c r="A20" s="2" t="s">
        <v>20</v>
      </c>
      <c r="B20">
        <v>20.2</v>
      </c>
      <c r="C20" s="20">
        <v>74.06</v>
      </c>
      <c r="D20" s="16"/>
    </row>
    <row r="21" spans="1:4" x14ac:dyDescent="0.25">
      <c r="A21" s="2" t="s">
        <v>21</v>
      </c>
      <c r="B21">
        <v>19.27</v>
      </c>
      <c r="C21" s="20">
        <v>70.650000000000006</v>
      </c>
      <c r="D21" s="16"/>
    </row>
    <row r="22" spans="1:4" x14ac:dyDescent="0.25">
      <c r="A22" s="2" t="s">
        <v>23</v>
      </c>
      <c r="B22">
        <v>0</v>
      </c>
      <c r="C22" s="20">
        <v>0</v>
      </c>
    </row>
    <row r="23" spans="1:4" x14ac:dyDescent="0.25">
      <c r="A23" s="2" t="s">
        <v>24</v>
      </c>
      <c r="B23">
        <v>20</v>
      </c>
      <c r="C23" s="20">
        <v>73.33</v>
      </c>
      <c r="D23" s="16"/>
    </row>
    <row r="24" spans="1:4" x14ac:dyDescent="0.25">
      <c r="A24" s="2" t="s">
        <v>25</v>
      </c>
      <c r="B24">
        <v>27.85</v>
      </c>
      <c r="C24" s="20">
        <v>102.11</v>
      </c>
      <c r="D24" s="16"/>
    </row>
    <row r="25" spans="1:4" x14ac:dyDescent="0.25">
      <c r="A25" s="2" t="s">
        <v>27</v>
      </c>
      <c r="B25">
        <v>18.2</v>
      </c>
      <c r="C25" s="20">
        <v>66.72</v>
      </c>
      <c r="D25" s="16"/>
    </row>
    <row r="26" spans="1:4" x14ac:dyDescent="0.25">
      <c r="A26" s="2" t="s">
        <v>28</v>
      </c>
      <c r="B26">
        <v>19.8</v>
      </c>
      <c r="C26" s="20">
        <v>72.58</v>
      </c>
      <c r="D26" s="16"/>
    </row>
  </sheetData>
  <pageMargins left="0.7" right="0.7" top="0.75" bottom="0.75" header="0.3" footer="0.3"/>
  <pageSetup orientation="landscape"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67CF2-8D64-4C4D-B919-3DA2E5E71AA0}">
  <sheetPr>
    <tabColor rgb="FFD45EC6"/>
    <pageSetUpPr fitToPage="1"/>
  </sheetPr>
  <dimension ref="A1:G26"/>
  <sheetViews>
    <sheetView workbookViewId="0">
      <selection activeCell="C5" sqref="C5"/>
    </sheetView>
  </sheetViews>
  <sheetFormatPr defaultRowHeight="15" x14ac:dyDescent="0.25"/>
  <cols>
    <col min="1" max="1" width="40.28515625" customWidth="1"/>
    <col min="2" max="2" width="23.85546875" customWidth="1"/>
    <col min="3" max="3" width="17.85546875" customWidth="1"/>
    <col min="4" max="4" width="19" bestFit="1" customWidth="1"/>
    <col min="5" max="5" width="33.28515625" bestFit="1" customWidth="1"/>
    <col min="6" max="6" width="18.5703125" bestFit="1" customWidth="1"/>
  </cols>
  <sheetData>
    <row r="1" spans="1:7" ht="18.75" x14ac:dyDescent="0.3">
      <c r="A1" s="102" t="s">
        <v>0</v>
      </c>
    </row>
    <row r="3" spans="1:7" x14ac:dyDescent="0.25">
      <c r="A3" s="1" t="s">
        <v>148</v>
      </c>
      <c r="B3" t="s">
        <v>149</v>
      </c>
      <c r="C3" t="s">
        <v>150</v>
      </c>
      <c r="F3" s="31" t="s">
        <v>151</v>
      </c>
    </row>
    <row r="4" spans="1:7" x14ac:dyDescent="0.25">
      <c r="A4" s="1" t="s">
        <v>1</v>
      </c>
      <c r="B4" s="1" t="s">
        <v>152</v>
      </c>
      <c r="C4" s="1" t="s">
        <v>153</v>
      </c>
      <c r="D4" s="1" t="s">
        <v>154</v>
      </c>
      <c r="E4" s="1" t="s">
        <v>71</v>
      </c>
      <c r="F4" s="32" t="s">
        <v>155</v>
      </c>
    </row>
    <row r="5" spans="1:7" x14ac:dyDescent="0.25">
      <c r="A5" t="s">
        <v>156</v>
      </c>
      <c r="B5" s="7">
        <v>65.400000000000006</v>
      </c>
      <c r="C5" s="27">
        <v>65.400000000000006</v>
      </c>
      <c r="D5" s="36">
        <f t="shared" ref="D5:D19" si="0">C5/B5</f>
        <v>1</v>
      </c>
      <c r="E5" t="s">
        <v>157</v>
      </c>
      <c r="F5" s="33">
        <v>1</v>
      </c>
    </row>
    <row r="6" spans="1:7" x14ac:dyDescent="0.25">
      <c r="A6" t="s">
        <v>158</v>
      </c>
      <c r="B6" s="7">
        <v>390.4</v>
      </c>
      <c r="C6" s="27">
        <v>9.5</v>
      </c>
      <c r="D6" s="37">
        <f t="shared" si="0"/>
        <v>2.4334016393442626E-2</v>
      </c>
      <c r="F6" s="34">
        <v>2.0619934950632378E-2</v>
      </c>
    </row>
    <row r="7" spans="1:7" x14ac:dyDescent="0.25">
      <c r="A7" t="s">
        <v>11</v>
      </c>
      <c r="B7" s="7">
        <v>10457.6</v>
      </c>
      <c r="C7" s="27">
        <v>663.7</v>
      </c>
      <c r="D7" s="37">
        <f t="shared" si="0"/>
        <v>6.3465804773561812E-2</v>
      </c>
      <c r="F7" s="34">
        <v>6.5043877674524672E-2</v>
      </c>
      <c r="G7" s="6"/>
    </row>
    <row r="8" spans="1:7" x14ac:dyDescent="0.25">
      <c r="A8" t="s">
        <v>159</v>
      </c>
      <c r="B8" s="7">
        <v>891.8</v>
      </c>
      <c r="C8" s="27">
        <v>891.8</v>
      </c>
      <c r="D8" s="36">
        <f t="shared" si="0"/>
        <v>1</v>
      </c>
      <c r="F8" s="34">
        <v>1</v>
      </c>
    </row>
    <row r="9" spans="1:7" x14ac:dyDescent="0.25">
      <c r="A9" t="s">
        <v>18</v>
      </c>
      <c r="B9" s="7">
        <v>3452.1</v>
      </c>
      <c r="C9" s="27">
        <v>2968.1</v>
      </c>
      <c r="D9" s="37">
        <f t="shared" si="0"/>
        <v>0.85979548680513307</v>
      </c>
      <c r="F9" s="34">
        <v>0.85583212917728613</v>
      </c>
    </row>
    <row r="10" spans="1:7" x14ac:dyDescent="0.25">
      <c r="A10" t="s">
        <v>20</v>
      </c>
      <c r="B10" s="7">
        <v>86.3</v>
      </c>
      <c r="C10" s="27">
        <v>86.3</v>
      </c>
      <c r="D10" s="36">
        <f t="shared" si="0"/>
        <v>1</v>
      </c>
      <c r="F10" s="34">
        <v>1</v>
      </c>
    </row>
    <row r="11" spans="1:7" x14ac:dyDescent="0.25">
      <c r="A11" t="s">
        <v>160</v>
      </c>
      <c r="B11" s="7">
        <v>271.8</v>
      </c>
      <c r="C11" s="27">
        <v>252.8</v>
      </c>
      <c r="D11" s="37">
        <f t="shared" si="0"/>
        <v>0.93009565857247978</v>
      </c>
      <c r="E11" t="s">
        <v>157</v>
      </c>
      <c r="F11" s="34">
        <v>0.92798629121412357</v>
      </c>
    </row>
    <row r="12" spans="1:7" x14ac:dyDescent="0.25">
      <c r="A12" t="s">
        <v>161</v>
      </c>
      <c r="B12" s="7">
        <v>119.6</v>
      </c>
      <c r="C12" s="27">
        <v>104.6</v>
      </c>
      <c r="D12" s="37">
        <f t="shared" si="0"/>
        <v>0.87458193979933108</v>
      </c>
      <c r="E12" t="s">
        <v>157</v>
      </c>
      <c r="F12" s="34">
        <v>0.90047360175039637</v>
      </c>
    </row>
    <row r="13" spans="1:7" x14ac:dyDescent="0.25">
      <c r="A13" t="s">
        <v>27</v>
      </c>
      <c r="B13" s="7">
        <v>1505</v>
      </c>
      <c r="C13" s="27">
        <v>155.80000000000001</v>
      </c>
      <c r="D13" s="37">
        <f t="shared" si="0"/>
        <v>0.10352159468438539</v>
      </c>
      <c r="F13" s="34">
        <v>0.10351538621643079</v>
      </c>
    </row>
    <row r="14" spans="1:7" x14ac:dyDescent="0.25">
      <c r="A14" t="s">
        <v>162</v>
      </c>
      <c r="B14" s="7">
        <v>510.1</v>
      </c>
      <c r="C14" s="27">
        <v>0</v>
      </c>
      <c r="D14" s="36">
        <f t="shared" si="0"/>
        <v>0</v>
      </c>
      <c r="F14" s="35">
        <v>0</v>
      </c>
    </row>
    <row r="15" spans="1:7" x14ac:dyDescent="0.25">
      <c r="A15" t="s">
        <v>163</v>
      </c>
      <c r="B15" s="7">
        <v>89.2</v>
      </c>
      <c r="C15" s="27">
        <v>83.4</v>
      </c>
      <c r="D15" s="37">
        <f t="shared" si="0"/>
        <v>0.93497757847533636</v>
      </c>
      <c r="E15" t="s">
        <v>157</v>
      </c>
      <c r="F15" s="34">
        <v>0.9323162222231115</v>
      </c>
    </row>
    <row r="16" spans="1:7" x14ac:dyDescent="0.25">
      <c r="A16" t="s">
        <v>15</v>
      </c>
      <c r="B16" s="7">
        <v>963.9</v>
      </c>
      <c r="C16" s="27">
        <v>5.8</v>
      </c>
      <c r="D16" s="37">
        <f t="shared" si="0"/>
        <v>6.0172217034962132E-3</v>
      </c>
      <c r="F16" s="34">
        <v>8.8471003849849197E-4</v>
      </c>
    </row>
    <row r="17" spans="1:6" x14ac:dyDescent="0.25">
      <c r="A17" t="s">
        <v>28</v>
      </c>
      <c r="B17" s="7">
        <v>9</v>
      </c>
      <c r="C17" s="27">
        <v>9</v>
      </c>
      <c r="D17" s="36">
        <f t="shared" si="0"/>
        <v>1</v>
      </c>
      <c r="F17" s="34">
        <v>1</v>
      </c>
    </row>
    <row r="18" spans="1:6" x14ac:dyDescent="0.25">
      <c r="A18" t="s">
        <v>164</v>
      </c>
      <c r="B18">
        <v>176.2</v>
      </c>
      <c r="C18" s="27">
        <v>176.2</v>
      </c>
      <c r="D18" s="36">
        <f t="shared" si="0"/>
        <v>1</v>
      </c>
      <c r="F18" s="34">
        <v>1</v>
      </c>
    </row>
    <row r="19" spans="1:6" x14ac:dyDescent="0.25">
      <c r="B19" s="7">
        <f>SUM(B5:B7,B8:B17)</f>
        <v>18812.2</v>
      </c>
      <c r="C19" s="7">
        <f>SUM(C5:C18)</f>
        <v>5472.4000000000005</v>
      </c>
      <c r="D19" s="36">
        <f t="shared" si="0"/>
        <v>0.29089633323056319</v>
      </c>
    </row>
    <row r="20" spans="1:6" x14ac:dyDescent="0.25">
      <c r="A20" s="1" t="s">
        <v>165</v>
      </c>
      <c r="B20" s="7"/>
      <c r="C20" s="7"/>
    </row>
    <row r="21" spans="1:6" x14ac:dyDescent="0.25">
      <c r="A21" t="s">
        <v>166</v>
      </c>
    </row>
    <row r="22" spans="1:6" x14ac:dyDescent="0.25">
      <c r="A22" t="s">
        <v>167</v>
      </c>
    </row>
    <row r="23" spans="1:6" x14ac:dyDescent="0.25">
      <c r="A23" t="s">
        <v>168</v>
      </c>
    </row>
    <row r="24" spans="1:6" x14ac:dyDescent="0.25">
      <c r="A24" t="s">
        <v>169</v>
      </c>
    </row>
    <row r="25" spans="1:6" x14ac:dyDescent="0.25">
      <c r="A25" t="s">
        <v>170</v>
      </c>
    </row>
    <row r="26" spans="1:6" x14ac:dyDescent="0.25">
      <c r="A26" t="s">
        <v>171</v>
      </c>
    </row>
  </sheetData>
  <printOptions gridLines="1"/>
  <pageMargins left="0.7" right="0.7" top="0.75" bottom="0.75" header="0.3" footer="0.3"/>
  <pageSetup scale="86" orientation="landscape"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F273B-9B2D-4904-9D8C-58EA4BF3E030}">
  <sheetPr filterMode="1">
    <tabColor rgb="FFD45EC6"/>
  </sheetPr>
  <dimension ref="A1:J90"/>
  <sheetViews>
    <sheetView workbookViewId="0">
      <pane ySplit="3" topLeftCell="A4" activePane="bottomLeft" state="frozen"/>
      <selection activeCell="C37" sqref="C37"/>
      <selection pane="bottomLeft" activeCell="B65" sqref="B65"/>
    </sheetView>
  </sheetViews>
  <sheetFormatPr defaultRowHeight="15" x14ac:dyDescent="0.25"/>
  <cols>
    <col min="1" max="1" width="11" bestFit="1" customWidth="1"/>
    <col min="2" max="2" width="8" bestFit="1" customWidth="1"/>
    <col min="3" max="3" width="9.28515625" hidden="1" customWidth="1"/>
    <col min="4" max="4" width="5" hidden="1" customWidth="1"/>
    <col min="5" max="5" width="8" bestFit="1" customWidth="1"/>
    <col min="6" max="6" width="86.7109375" customWidth="1"/>
    <col min="7" max="7" width="20.5703125" customWidth="1"/>
    <col min="8" max="8" width="15.7109375" bestFit="1" customWidth="1"/>
    <col min="9" max="9" width="34.5703125" bestFit="1" customWidth="1"/>
    <col min="10" max="10" width="13.28515625" bestFit="1" customWidth="1"/>
  </cols>
  <sheetData>
    <row r="1" spans="1:10" ht="18.75" x14ac:dyDescent="0.3">
      <c r="A1" s="102" t="s">
        <v>0</v>
      </c>
    </row>
    <row r="3" spans="1:10" s="1" customFormat="1" x14ac:dyDescent="0.25">
      <c r="A3" s="1" t="s">
        <v>172</v>
      </c>
      <c r="B3" s="1" t="s">
        <v>173</v>
      </c>
      <c r="C3" s="1" t="s">
        <v>174</v>
      </c>
      <c r="D3" s="1" t="s">
        <v>3</v>
      </c>
      <c r="E3" s="1" t="s">
        <v>175</v>
      </c>
      <c r="F3" s="1" t="s">
        <v>176</v>
      </c>
      <c r="G3" s="1" t="s">
        <v>177</v>
      </c>
      <c r="H3" s="1" t="s">
        <v>178</v>
      </c>
      <c r="I3" s="1" t="s">
        <v>179</v>
      </c>
      <c r="J3" s="1" t="s">
        <v>180</v>
      </c>
    </row>
    <row r="4" spans="1:10" x14ac:dyDescent="0.25">
      <c r="A4" t="s">
        <v>181</v>
      </c>
      <c r="B4" t="s">
        <v>182</v>
      </c>
      <c r="C4" t="s">
        <v>10</v>
      </c>
      <c r="D4" t="s">
        <v>183</v>
      </c>
      <c r="E4">
        <v>7915</v>
      </c>
      <c r="F4" t="s">
        <v>184</v>
      </c>
      <c r="G4" t="s">
        <v>185</v>
      </c>
      <c r="H4" t="s">
        <v>13</v>
      </c>
      <c r="I4" t="s">
        <v>14</v>
      </c>
      <c r="J4" t="s">
        <v>186</v>
      </c>
    </row>
    <row r="5" spans="1:10" hidden="1" x14ac:dyDescent="0.25">
      <c r="A5" t="s">
        <v>181</v>
      </c>
      <c r="B5" t="s">
        <v>187</v>
      </c>
      <c r="C5" t="s">
        <v>10</v>
      </c>
      <c r="D5" t="s">
        <v>183</v>
      </c>
      <c r="E5">
        <v>1193</v>
      </c>
      <c r="F5" t="s">
        <v>184</v>
      </c>
      <c r="G5" t="s">
        <v>188</v>
      </c>
      <c r="H5" t="s">
        <v>13</v>
      </c>
      <c r="I5" t="s">
        <v>14</v>
      </c>
      <c r="J5" t="s">
        <v>189</v>
      </c>
    </row>
    <row r="6" spans="1:10" x14ac:dyDescent="0.25">
      <c r="A6" t="s">
        <v>181</v>
      </c>
      <c r="B6" t="s">
        <v>190</v>
      </c>
      <c r="C6" t="s">
        <v>10</v>
      </c>
      <c r="D6" t="s">
        <v>183</v>
      </c>
      <c r="E6">
        <v>1425</v>
      </c>
      <c r="F6" t="s">
        <v>191</v>
      </c>
      <c r="G6" t="s">
        <v>185</v>
      </c>
      <c r="H6" t="s">
        <v>9</v>
      </c>
      <c r="I6" t="s">
        <v>9</v>
      </c>
      <c r="J6" t="s">
        <v>186</v>
      </c>
    </row>
    <row r="7" spans="1:10" x14ac:dyDescent="0.25">
      <c r="A7" t="s">
        <v>181</v>
      </c>
      <c r="B7" t="s">
        <v>192</v>
      </c>
      <c r="C7" t="s">
        <v>10</v>
      </c>
      <c r="D7" t="s">
        <v>183</v>
      </c>
      <c r="E7">
        <v>62</v>
      </c>
      <c r="F7" t="s">
        <v>191</v>
      </c>
      <c r="G7" t="s">
        <v>193</v>
      </c>
      <c r="H7" t="s">
        <v>9</v>
      </c>
      <c r="I7" t="s">
        <v>9</v>
      </c>
      <c r="J7" t="s">
        <v>189</v>
      </c>
    </row>
    <row r="8" spans="1:10" hidden="1" x14ac:dyDescent="0.25">
      <c r="A8" t="s">
        <v>181</v>
      </c>
      <c r="B8" t="s">
        <v>194</v>
      </c>
      <c r="C8" t="s">
        <v>10</v>
      </c>
      <c r="D8" t="s">
        <v>183</v>
      </c>
      <c r="E8">
        <v>1425</v>
      </c>
      <c r="F8" t="s">
        <v>195</v>
      </c>
      <c r="G8" t="s">
        <v>185</v>
      </c>
      <c r="H8" t="s">
        <v>9</v>
      </c>
      <c r="I8" t="s">
        <v>9</v>
      </c>
      <c r="J8" t="s">
        <v>196</v>
      </c>
    </row>
    <row r="9" spans="1:10" hidden="1" x14ac:dyDescent="0.25">
      <c r="A9" t="s">
        <v>181</v>
      </c>
      <c r="B9" t="s">
        <v>197</v>
      </c>
      <c r="C9" t="s">
        <v>10</v>
      </c>
      <c r="D9" t="s">
        <v>183</v>
      </c>
      <c r="E9">
        <v>1425</v>
      </c>
      <c r="F9" t="s">
        <v>198</v>
      </c>
      <c r="G9" t="s">
        <v>185</v>
      </c>
      <c r="H9" t="s">
        <v>9</v>
      </c>
      <c r="I9" t="s">
        <v>9</v>
      </c>
      <c r="J9" t="s">
        <v>196</v>
      </c>
    </row>
    <row r="10" spans="1:10" hidden="1" x14ac:dyDescent="0.25">
      <c r="A10" t="s">
        <v>181</v>
      </c>
      <c r="B10" t="s">
        <v>199</v>
      </c>
      <c r="C10" t="s">
        <v>10</v>
      </c>
      <c r="D10" t="s">
        <v>183</v>
      </c>
      <c r="E10">
        <v>23</v>
      </c>
      <c r="F10" t="s">
        <v>200</v>
      </c>
      <c r="G10" t="s">
        <v>201</v>
      </c>
      <c r="H10" t="s">
        <v>9</v>
      </c>
      <c r="I10" t="s">
        <v>86</v>
      </c>
      <c r="J10" t="s">
        <v>196</v>
      </c>
    </row>
    <row r="11" spans="1:10" hidden="1" x14ac:dyDescent="0.25">
      <c r="A11" t="s">
        <v>181</v>
      </c>
      <c r="B11" t="s">
        <v>202</v>
      </c>
      <c r="C11" t="s">
        <v>10</v>
      </c>
      <c r="D11" t="s">
        <v>183</v>
      </c>
      <c r="E11">
        <v>62</v>
      </c>
      <c r="F11" t="s">
        <v>198</v>
      </c>
      <c r="G11" t="s">
        <v>193</v>
      </c>
      <c r="H11" t="s">
        <v>9</v>
      </c>
      <c r="I11" t="s">
        <v>9</v>
      </c>
      <c r="J11" t="s">
        <v>196</v>
      </c>
    </row>
    <row r="12" spans="1:10" hidden="1" x14ac:dyDescent="0.25">
      <c r="A12" t="s">
        <v>181</v>
      </c>
      <c r="B12" t="s">
        <v>203</v>
      </c>
      <c r="C12" t="s">
        <v>10</v>
      </c>
      <c r="D12" t="s">
        <v>183</v>
      </c>
      <c r="E12">
        <v>1425</v>
      </c>
      <c r="F12" t="s">
        <v>204</v>
      </c>
      <c r="G12" t="s">
        <v>185</v>
      </c>
      <c r="H12" t="s">
        <v>9</v>
      </c>
      <c r="I12" t="s">
        <v>9</v>
      </c>
      <c r="J12" t="s">
        <v>196</v>
      </c>
    </row>
    <row r="13" spans="1:10" hidden="1" x14ac:dyDescent="0.25">
      <c r="A13" t="s">
        <v>181</v>
      </c>
      <c r="B13" t="s">
        <v>205</v>
      </c>
      <c r="C13" t="s">
        <v>10</v>
      </c>
      <c r="D13" t="s">
        <v>183</v>
      </c>
      <c r="E13">
        <v>5</v>
      </c>
      <c r="F13" t="s">
        <v>206</v>
      </c>
      <c r="G13" t="s">
        <v>207</v>
      </c>
      <c r="H13" t="s">
        <v>13</v>
      </c>
      <c r="I13" t="s">
        <v>86</v>
      </c>
      <c r="J13" t="s">
        <v>196</v>
      </c>
    </row>
    <row r="14" spans="1:10" x14ac:dyDescent="0.25">
      <c r="A14" t="s">
        <v>181</v>
      </c>
      <c r="B14" t="s">
        <v>208</v>
      </c>
      <c r="C14" t="s">
        <v>10</v>
      </c>
      <c r="D14" t="s">
        <v>183</v>
      </c>
      <c r="E14">
        <v>11951</v>
      </c>
      <c r="F14" t="s">
        <v>209</v>
      </c>
      <c r="G14" t="s">
        <v>185</v>
      </c>
      <c r="H14" t="s">
        <v>13</v>
      </c>
      <c r="I14" t="s">
        <v>15</v>
      </c>
      <c r="J14" t="s">
        <v>196</v>
      </c>
    </row>
    <row r="15" spans="1:10" hidden="1" x14ac:dyDescent="0.25">
      <c r="A15" t="s">
        <v>181</v>
      </c>
      <c r="B15" t="s">
        <v>210</v>
      </c>
      <c r="C15" t="s">
        <v>10</v>
      </c>
      <c r="D15" t="s">
        <v>183</v>
      </c>
      <c r="E15">
        <v>2073</v>
      </c>
      <c r="F15" t="s">
        <v>209</v>
      </c>
      <c r="G15" t="s">
        <v>188</v>
      </c>
      <c r="H15" t="s">
        <v>13</v>
      </c>
      <c r="I15" t="s">
        <v>15</v>
      </c>
      <c r="J15" t="s">
        <v>196</v>
      </c>
    </row>
    <row r="16" spans="1:10" hidden="1" x14ac:dyDescent="0.25">
      <c r="A16" t="s">
        <v>181</v>
      </c>
      <c r="B16" t="s">
        <v>211</v>
      </c>
      <c r="C16" t="s">
        <v>10</v>
      </c>
      <c r="D16" t="s">
        <v>183</v>
      </c>
      <c r="E16">
        <v>11951</v>
      </c>
      <c r="F16" t="s">
        <v>212</v>
      </c>
      <c r="G16" t="s">
        <v>185</v>
      </c>
      <c r="H16" t="s">
        <v>13</v>
      </c>
      <c r="I16" t="s">
        <v>15</v>
      </c>
      <c r="J16" t="s">
        <v>196</v>
      </c>
    </row>
    <row r="17" spans="1:10" hidden="1" x14ac:dyDescent="0.25">
      <c r="A17" t="s">
        <v>181</v>
      </c>
      <c r="B17" t="s">
        <v>213</v>
      </c>
      <c r="C17" t="s">
        <v>10</v>
      </c>
      <c r="D17" t="s">
        <v>183</v>
      </c>
      <c r="E17">
        <v>2073</v>
      </c>
      <c r="F17" t="s">
        <v>212</v>
      </c>
      <c r="G17" t="s">
        <v>188</v>
      </c>
      <c r="H17" t="s">
        <v>13</v>
      </c>
      <c r="I17" t="s">
        <v>15</v>
      </c>
      <c r="J17" t="s">
        <v>196</v>
      </c>
    </row>
    <row r="18" spans="1:10" hidden="1" x14ac:dyDescent="0.25">
      <c r="A18" t="s">
        <v>181</v>
      </c>
      <c r="B18" t="s">
        <v>214</v>
      </c>
      <c r="C18" t="s">
        <v>10</v>
      </c>
      <c r="D18" t="s">
        <v>183</v>
      </c>
      <c r="E18">
        <v>11934</v>
      </c>
      <c r="F18" t="s">
        <v>215</v>
      </c>
      <c r="G18" t="s">
        <v>185</v>
      </c>
      <c r="H18" t="s">
        <v>13</v>
      </c>
      <c r="I18" t="s">
        <v>15</v>
      </c>
      <c r="J18" t="s">
        <v>196</v>
      </c>
    </row>
    <row r="19" spans="1:10" hidden="1" x14ac:dyDescent="0.25">
      <c r="A19" t="s">
        <v>181</v>
      </c>
      <c r="B19" t="s">
        <v>216</v>
      </c>
      <c r="C19" t="s">
        <v>10</v>
      </c>
      <c r="D19" t="s">
        <v>183</v>
      </c>
      <c r="E19">
        <v>11951</v>
      </c>
      <c r="F19" t="s">
        <v>217</v>
      </c>
      <c r="G19" t="s">
        <v>185</v>
      </c>
      <c r="H19" t="s">
        <v>13</v>
      </c>
      <c r="I19" t="s">
        <v>15</v>
      </c>
      <c r="J19" t="s">
        <v>186</v>
      </c>
    </row>
    <row r="20" spans="1:10" hidden="1" x14ac:dyDescent="0.25">
      <c r="A20" t="s">
        <v>181</v>
      </c>
      <c r="B20" t="s">
        <v>218</v>
      </c>
      <c r="C20" t="s">
        <v>10</v>
      </c>
      <c r="D20" t="s">
        <v>183</v>
      </c>
      <c r="E20">
        <v>2073</v>
      </c>
      <c r="F20" t="s">
        <v>217</v>
      </c>
      <c r="G20" t="s">
        <v>188</v>
      </c>
      <c r="H20" t="s">
        <v>13</v>
      </c>
      <c r="I20" t="s">
        <v>15</v>
      </c>
      <c r="J20" t="s">
        <v>189</v>
      </c>
    </row>
    <row r="21" spans="1:10" x14ac:dyDescent="0.25">
      <c r="A21" t="s">
        <v>181</v>
      </c>
      <c r="B21" t="s">
        <v>219</v>
      </c>
      <c r="C21" t="s">
        <v>10</v>
      </c>
      <c r="D21" t="s">
        <v>183</v>
      </c>
      <c r="E21">
        <v>221</v>
      </c>
      <c r="F21" t="s">
        <v>220</v>
      </c>
      <c r="G21" t="s">
        <v>185</v>
      </c>
      <c r="H21" t="s">
        <v>13</v>
      </c>
      <c r="I21" t="s">
        <v>17</v>
      </c>
      <c r="J21" t="s">
        <v>186</v>
      </c>
    </row>
    <row r="22" spans="1:10" hidden="1" x14ac:dyDescent="0.25">
      <c r="A22" t="s">
        <v>181</v>
      </c>
      <c r="B22" t="s">
        <v>221</v>
      </c>
      <c r="C22" t="s">
        <v>10</v>
      </c>
      <c r="D22" t="s">
        <v>183</v>
      </c>
      <c r="E22">
        <v>64</v>
      </c>
      <c r="F22" t="s">
        <v>222</v>
      </c>
      <c r="G22" t="s">
        <v>188</v>
      </c>
      <c r="H22" t="s">
        <v>13</v>
      </c>
      <c r="I22" t="s">
        <v>17</v>
      </c>
      <c r="J22" t="s">
        <v>189</v>
      </c>
    </row>
    <row r="23" spans="1:10" hidden="1" x14ac:dyDescent="0.25">
      <c r="A23" t="s">
        <v>181</v>
      </c>
      <c r="B23" t="s">
        <v>223</v>
      </c>
      <c r="C23" t="s">
        <v>10</v>
      </c>
      <c r="D23" t="s">
        <v>183</v>
      </c>
      <c r="E23">
        <v>39790</v>
      </c>
      <c r="F23" t="s">
        <v>224</v>
      </c>
      <c r="G23" t="s">
        <v>185</v>
      </c>
      <c r="H23" t="s">
        <v>89</v>
      </c>
      <c r="I23" t="s">
        <v>86</v>
      </c>
      <c r="J23" t="s">
        <v>196</v>
      </c>
    </row>
    <row r="24" spans="1:10" hidden="1" x14ac:dyDescent="0.25">
      <c r="A24" t="s">
        <v>181</v>
      </c>
      <c r="B24" t="s">
        <v>225</v>
      </c>
      <c r="C24" t="s">
        <v>10</v>
      </c>
      <c r="D24" t="s">
        <v>183</v>
      </c>
      <c r="E24">
        <v>11662</v>
      </c>
      <c r="F24" t="s">
        <v>224</v>
      </c>
      <c r="G24" t="s">
        <v>90</v>
      </c>
      <c r="H24" t="s">
        <v>89</v>
      </c>
      <c r="I24" t="s">
        <v>86</v>
      </c>
      <c r="J24" t="s">
        <v>196</v>
      </c>
    </row>
    <row r="25" spans="1:10" hidden="1" x14ac:dyDescent="0.25">
      <c r="A25" t="s">
        <v>181</v>
      </c>
      <c r="B25" t="s">
        <v>226</v>
      </c>
      <c r="C25" t="s">
        <v>10</v>
      </c>
      <c r="D25" t="s">
        <v>183</v>
      </c>
      <c r="E25">
        <v>38852</v>
      </c>
      <c r="F25" t="s">
        <v>227</v>
      </c>
      <c r="G25" t="s">
        <v>185</v>
      </c>
      <c r="H25" t="s">
        <v>89</v>
      </c>
      <c r="I25" t="s">
        <v>86</v>
      </c>
      <c r="J25" t="s">
        <v>196</v>
      </c>
    </row>
    <row r="26" spans="1:10" hidden="1" x14ac:dyDescent="0.25">
      <c r="A26" t="s">
        <v>181</v>
      </c>
      <c r="B26" t="s">
        <v>228</v>
      </c>
      <c r="C26" t="s">
        <v>10</v>
      </c>
      <c r="D26" t="s">
        <v>183</v>
      </c>
      <c r="E26">
        <v>241</v>
      </c>
      <c r="F26" t="s">
        <v>229</v>
      </c>
      <c r="G26" t="s">
        <v>185</v>
      </c>
      <c r="H26" t="s">
        <v>230</v>
      </c>
      <c r="I26" t="s">
        <v>86</v>
      </c>
      <c r="J26" t="s">
        <v>196</v>
      </c>
    </row>
    <row r="27" spans="1:10" x14ac:dyDescent="0.25">
      <c r="A27" t="s">
        <v>181</v>
      </c>
      <c r="B27" t="s">
        <v>231</v>
      </c>
      <c r="C27" t="s">
        <v>10</v>
      </c>
      <c r="D27" t="s">
        <v>183</v>
      </c>
      <c r="E27">
        <v>900</v>
      </c>
      <c r="F27" t="s">
        <v>232</v>
      </c>
      <c r="G27" t="s">
        <v>185</v>
      </c>
      <c r="H27" t="s">
        <v>13</v>
      </c>
      <c r="I27" t="s">
        <v>18</v>
      </c>
      <c r="J27" t="s">
        <v>186</v>
      </c>
    </row>
    <row r="28" spans="1:10" hidden="1" x14ac:dyDescent="0.25">
      <c r="A28" t="s">
        <v>181</v>
      </c>
      <c r="B28" t="s">
        <v>233</v>
      </c>
      <c r="C28" t="s">
        <v>10</v>
      </c>
      <c r="D28" t="s">
        <v>183</v>
      </c>
      <c r="E28">
        <v>3</v>
      </c>
      <c r="F28" t="s">
        <v>234</v>
      </c>
      <c r="G28" t="s">
        <v>207</v>
      </c>
      <c r="H28" t="s">
        <v>13</v>
      </c>
      <c r="I28" t="s">
        <v>86</v>
      </c>
      <c r="J28" t="s">
        <v>196</v>
      </c>
    </row>
    <row r="29" spans="1:10" hidden="1" x14ac:dyDescent="0.25">
      <c r="A29" t="s">
        <v>181</v>
      </c>
      <c r="B29" t="s">
        <v>235</v>
      </c>
      <c r="C29" t="s">
        <v>10</v>
      </c>
      <c r="D29" t="s">
        <v>183</v>
      </c>
      <c r="E29">
        <v>234</v>
      </c>
      <c r="F29" t="s">
        <v>232</v>
      </c>
      <c r="G29" t="s">
        <v>188</v>
      </c>
      <c r="H29" t="s">
        <v>13</v>
      </c>
      <c r="I29" t="s">
        <v>18</v>
      </c>
      <c r="J29" t="s">
        <v>189</v>
      </c>
    </row>
    <row r="30" spans="1:10" hidden="1" x14ac:dyDescent="0.25">
      <c r="A30" t="s">
        <v>181</v>
      </c>
      <c r="B30" t="s">
        <v>236</v>
      </c>
      <c r="C30" t="s">
        <v>10</v>
      </c>
      <c r="D30" t="s">
        <v>183</v>
      </c>
      <c r="E30">
        <v>885</v>
      </c>
      <c r="F30" t="s">
        <v>237</v>
      </c>
      <c r="G30" t="s">
        <v>185</v>
      </c>
      <c r="H30" t="s">
        <v>13</v>
      </c>
      <c r="I30" t="s">
        <v>18</v>
      </c>
      <c r="J30" t="s">
        <v>196</v>
      </c>
    </row>
    <row r="31" spans="1:10" x14ac:dyDescent="0.25">
      <c r="A31" t="s">
        <v>181</v>
      </c>
      <c r="B31" t="s">
        <v>238</v>
      </c>
      <c r="C31" t="s">
        <v>10</v>
      </c>
      <c r="D31" t="s">
        <v>183</v>
      </c>
      <c r="E31">
        <v>2</v>
      </c>
      <c r="F31" t="s">
        <v>239</v>
      </c>
      <c r="G31" t="s">
        <v>185</v>
      </c>
      <c r="H31" t="s">
        <v>13</v>
      </c>
      <c r="I31" t="s">
        <v>19</v>
      </c>
      <c r="J31" t="s">
        <v>186</v>
      </c>
    </row>
    <row r="32" spans="1:10" hidden="1" x14ac:dyDescent="0.25">
      <c r="A32" t="s">
        <v>181</v>
      </c>
      <c r="B32" t="s">
        <v>240</v>
      </c>
      <c r="C32" t="s">
        <v>10</v>
      </c>
      <c r="D32" t="s">
        <v>183</v>
      </c>
      <c r="E32">
        <v>39979</v>
      </c>
      <c r="F32" t="s">
        <v>241</v>
      </c>
      <c r="G32" t="s">
        <v>185</v>
      </c>
      <c r="H32" t="s">
        <v>89</v>
      </c>
      <c r="I32" t="s">
        <v>86</v>
      </c>
      <c r="J32" t="s">
        <v>196</v>
      </c>
    </row>
    <row r="33" spans="1:10" x14ac:dyDescent="0.25">
      <c r="A33" t="s">
        <v>181</v>
      </c>
      <c r="B33" t="s">
        <v>242</v>
      </c>
      <c r="C33" t="s">
        <v>10</v>
      </c>
      <c r="D33" t="s">
        <v>183</v>
      </c>
      <c r="E33">
        <v>923</v>
      </c>
      <c r="F33" t="s">
        <v>243</v>
      </c>
      <c r="G33" t="s">
        <v>185</v>
      </c>
      <c r="H33" t="s">
        <v>13</v>
      </c>
      <c r="I33" t="s">
        <v>20</v>
      </c>
      <c r="J33" t="s">
        <v>186</v>
      </c>
    </row>
    <row r="34" spans="1:10" hidden="1" x14ac:dyDescent="0.25">
      <c r="A34" t="s">
        <v>181</v>
      </c>
      <c r="B34" t="s">
        <v>244</v>
      </c>
      <c r="C34" t="s">
        <v>10</v>
      </c>
      <c r="D34" t="s">
        <v>183</v>
      </c>
      <c r="E34">
        <v>152</v>
      </c>
      <c r="F34" t="s">
        <v>243</v>
      </c>
      <c r="G34" t="s">
        <v>188</v>
      </c>
      <c r="H34" t="s">
        <v>13</v>
      </c>
      <c r="I34" t="s">
        <v>20</v>
      </c>
      <c r="J34" t="s">
        <v>189</v>
      </c>
    </row>
    <row r="35" spans="1:10" hidden="1" x14ac:dyDescent="0.25">
      <c r="A35" t="s">
        <v>181</v>
      </c>
      <c r="B35" t="s">
        <v>245</v>
      </c>
      <c r="C35" t="s">
        <v>10</v>
      </c>
      <c r="D35" t="s">
        <v>183</v>
      </c>
      <c r="E35">
        <v>2996</v>
      </c>
      <c r="F35" t="s">
        <v>246</v>
      </c>
      <c r="G35" t="s">
        <v>185</v>
      </c>
      <c r="H35" t="s">
        <v>13</v>
      </c>
      <c r="I35" t="s">
        <v>21</v>
      </c>
      <c r="J35" t="s">
        <v>196</v>
      </c>
    </row>
    <row r="36" spans="1:10" hidden="1" x14ac:dyDescent="0.25">
      <c r="A36" t="s">
        <v>181</v>
      </c>
      <c r="B36" t="s">
        <v>247</v>
      </c>
      <c r="C36" t="s">
        <v>10</v>
      </c>
      <c r="D36" t="s">
        <v>183</v>
      </c>
      <c r="E36">
        <v>593</v>
      </c>
      <c r="F36" t="s">
        <v>246</v>
      </c>
      <c r="G36" t="s">
        <v>188</v>
      </c>
      <c r="H36" t="s">
        <v>13</v>
      </c>
      <c r="I36" t="s">
        <v>21</v>
      </c>
      <c r="J36" t="s">
        <v>189</v>
      </c>
    </row>
    <row r="37" spans="1:10" x14ac:dyDescent="0.25">
      <c r="A37" t="s">
        <v>181</v>
      </c>
      <c r="B37" t="s">
        <v>248</v>
      </c>
      <c r="C37" t="s">
        <v>10</v>
      </c>
      <c r="D37" t="s">
        <v>183</v>
      </c>
      <c r="E37">
        <v>2775</v>
      </c>
      <c r="F37" t="s">
        <v>249</v>
      </c>
      <c r="G37" t="s">
        <v>185</v>
      </c>
      <c r="H37" t="s">
        <v>13</v>
      </c>
      <c r="I37" t="s">
        <v>21</v>
      </c>
      <c r="J37" t="s">
        <v>186</v>
      </c>
    </row>
    <row r="38" spans="1:10" x14ac:dyDescent="0.25">
      <c r="A38" t="s">
        <v>181</v>
      </c>
      <c r="B38" t="s">
        <v>250</v>
      </c>
      <c r="C38" t="s">
        <v>10</v>
      </c>
      <c r="D38" t="s">
        <v>183</v>
      </c>
      <c r="E38">
        <v>16</v>
      </c>
      <c r="F38" t="s">
        <v>251</v>
      </c>
      <c r="G38" t="s">
        <v>185</v>
      </c>
      <c r="H38" t="s">
        <v>13</v>
      </c>
      <c r="I38" t="s">
        <v>23</v>
      </c>
      <c r="J38" t="s">
        <v>186</v>
      </c>
    </row>
    <row r="39" spans="1:10" hidden="1" x14ac:dyDescent="0.25">
      <c r="A39" t="s">
        <v>181</v>
      </c>
      <c r="B39" t="s">
        <v>252</v>
      </c>
      <c r="C39" t="s">
        <v>10</v>
      </c>
      <c r="D39" t="s">
        <v>183</v>
      </c>
      <c r="E39">
        <v>3</v>
      </c>
      <c r="F39" t="s">
        <v>251</v>
      </c>
      <c r="G39" t="s">
        <v>188</v>
      </c>
      <c r="H39" t="s">
        <v>13</v>
      </c>
      <c r="I39" t="s">
        <v>23</v>
      </c>
      <c r="J39" t="s">
        <v>189</v>
      </c>
    </row>
    <row r="40" spans="1:10" x14ac:dyDescent="0.25">
      <c r="A40" t="s">
        <v>181</v>
      </c>
      <c r="B40" t="s">
        <v>253</v>
      </c>
      <c r="C40" t="s">
        <v>10</v>
      </c>
      <c r="D40" t="s">
        <v>183</v>
      </c>
      <c r="E40">
        <v>134128</v>
      </c>
      <c r="F40" t="s">
        <v>254</v>
      </c>
      <c r="G40" t="s">
        <v>185</v>
      </c>
      <c r="H40" t="s">
        <v>11</v>
      </c>
      <c r="I40" t="s">
        <v>11</v>
      </c>
      <c r="J40" t="s">
        <v>186</v>
      </c>
    </row>
    <row r="41" spans="1:10" x14ac:dyDescent="0.25">
      <c r="A41" t="s">
        <v>181</v>
      </c>
      <c r="B41" t="s">
        <v>255</v>
      </c>
      <c r="C41" t="s">
        <v>10</v>
      </c>
      <c r="D41" t="s">
        <v>183</v>
      </c>
      <c r="E41">
        <v>130694</v>
      </c>
      <c r="F41" t="s">
        <v>254</v>
      </c>
      <c r="G41" t="s">
        <v>256</v>
      </c>
      <c r="H41" t="s">
        <v>11</v>
      </c>
      <c r="I41" t="s">
        <v>11</v>
      </c>
      <c r="J41" t="s">
        <v>189</v>
      </c>
    </row>
    <row r="42" spans="1:10" hidden="1" x14ac:dyDescent="0.25">
      <c r="A42" t="s">
        <v>181</v>
      </c>
      <c r="B42" t="s">
        <v>257</v>
      </c>
      <c r="C42" t="s">
        <v>10</v>
      </c>
      <c r="D42" t="s">
        <v>183</v>
      </c>
      <c r="E42">
        <v>2633</v>
      </c>
      <c r="F42" t="s">
        <v>258</v>
      </c>
      <c r="G42" t="s">
        <v>185</v>
      </c>
      <c r="H42" t="s">
        <v>11</v>
      </c>
      <c r="I42" t="s">
        <v>11</v>
      </c>
      <c r="J42" t="s">
        <v>196</v>
      </c>
    </row>
    <row r="43" spans="1:10" hidden="1" x14ac:dyDescent="0.25">
      <c r="A43" t="s">
        <v>181</v>
      </c>
      <c r="B43" t="s">
        <v>259</v>
      </c>
      <c r="C43" t="s">
        <v>10</v>
      </c>
      <c r="D43" t="s">
        <v>183</v>
      </c>
      <c r="E43">
        <v>122815</v>
      </c>
      <c r="F43" t="s">
        <v>260</v>
      </c>
      <c r="G43" t="s">
        <v>185</v>
      </c>
      <c r="H43" t="s">
        <v>11</v>
      </c>
      <c r="I43" t="s">
        <v>11</v>
      </c>
      <c r="J43" t="s">
        <v>196</v>
      </c>
    </row>
    <row r="44" spans="1:10" hidden="1" x14ac:dyDescent="0.25">
      <c r="A44" t="s">
        <v>181</v>
      </c>
      <c r="B44" t="s">
        <v>261</v>
      </c>
      <c r="C44" t="s">
        <v>10</v>
      </c>
      <c r="D44" t="s">
        <v>183</v>
      </c>
      <c r="E44">
        <v>8680</v>
      </c>
      <c r="F44" t="s">
        <v>262</v>
      </c>
      <c r="G44" t="s">
        <v>185</v>
      </c>
      <c r="H44" t="s">
        <v>11</v>
      </c>
      <c r="I44" t="s">
        <v>11</v>
      </c>
      <c r="J44" t="s">
        <v>196</v>
      </c>
    </row>
    <row r="45" spans="1:10" x14ac:dyDescent="0.25">
      <c r="A45" t="s">
        <v>181</v>
      </c>
      <c r="B45" t="s">
        <v>263</v>
      </c>
      <c r="C45" t="s">
        <v>10</v>
      </c>
      <c r="D45" t="s">
        <v>183</v>
      </c>
      <c r="E45">
        <v>9221</v>
      </c>
      <c r="F45" t="s">
        <v>264</v>
      </c>
      <c r="G45" t="s">
        <v>185</v>
      </c>
      <c r="H45" t="s">
        <v>13</v>
      </c>
      <c r="I45" t="s">
        <v>24</v>
      </c>
      <c r="J45" t="s">
        <v>186</v>
      </c>
    </row>
    <row r="46" spans="1:10" hidden="1" x14ac:dyDescent="0.25">
      <c r="A46" t="s">
        <v>181</v>
      </c>
      <c r="B46" t="s">
        <v>265</v>
      </c>
      <c r="C46" t="s">
        <v>10</v>
      </c>
      <c r="D46" t="s">
        <v>183</v>
      </c>
      <c r="E46">
        <v>1467</v>
      </c>
      <c r="F46" t="s">
        <v>264</v>
      </c>
      <c r="G46" t="s">
        <v>188</v>
      </c>
      <c r="H46" t="s">
        <v>13</v>
      </c>
      <c r="I46" t="s">
        <v>24</v>
      </c>
      <c r="J46" t="s">
        <v>189</v>
      </c>
    </row>
    <row r="47" spans="1:10" hidden="1" x14ac:dyDescent="0.25">
      <c r="A47" t="s">
        <v>181</v>
      </c>
      <c r="B47" t="s">
        <v>266</v>
      </c>
      <c r="C47" t="s">
        <v>10</v>
      </c>
      <c r="D47" t="s">
        <v>183</v>
      </c>
      <c r="E47">
        <v>35</v>
      </c>
      <c r="F47" t="s">
        <v>267</v>
      </c>
      <c r="G47" t="s">
        <v>185</v>
      </c>
      <c r="H47" t="s">
        <v>13</v>
      </c>
      <c r="I47" t="s">
        <v>24</v>
      </c>
      <c r="J47" t="s">
        <v>196</v>
      </c>
    </row>
    <row r="48" spans="1:10" hidden="1" x14ac:dyDescent="0.25">
      <c r="A48" t="s">
        <v>181</v>
      </c>
      <c r="B48" t="s">
        <v>268</v>
      </c>
      <c r="C48" t="s">
        <v>10</v>
      </c>
      <c r="D48" t="s">
        <v>183</v>
      </c>
      <c r="E48">
        <v>19954</v>
      </c>
      <c r="F48" t="s">
        <v>269</v>
      </c>
      <c r="G48" t="s">
        <v>185</v>
      </c>
      <c r="H48" t="s">
        <v>13</v>
      </c>
      <c r="I48" t="s">
        <v>24</v>
      </c>
      <c r="J48" t="s">
        <v>186</v>
      </c>
    </row>
    <row r="49" spans="1:10" hidden="1" x14ac:dyDescent="0.25">
      <c r="A49" t="s">
        <v>181</v>
      </c>
      <c r="B49" t="s">
        <v>270</v>
      </c>
      <c r="C49" t="s">
        <v>10</v>
      </c>
      <c r="D49" t="s">
        <v>183</v>
      </c>
      <c r="E49">
        <v>3113</v>
      </c>
      <c r="F49" t="s">
        <v>269</v>
      </c>
      <c r="G49" t="s">
        <v>188</v>
      </c>
      <c r="H49" t="s">
        <v>13</v>
      </c>
      <c r="I49" t="s">
        <v>24</v>
      </c>
      <c r="J49" t="s">
        <v>189</v>
      </c>
    </row>
    <row r="50" spans="1:10" hidden="1" x14ac:dyDescent="0.25">
      <c r="A50" t="s">
        <v>181</v>
      </c>
      <c r="B50" t="s">
        <v>271</v>
      </c>
      <c r="C50" t="s">
        <v>10</v>
      </c>
      <c r="D50" t="s">
        <v>183</v>
      </c>
      <c r="E50">
        <v>8875</v>
      </c>
      <c r="F50" t="s">
        <v>272</v>
      </c>
      <c r="G50" t="s">
        <v>185</v>
      </c>
      <c r="H50" t="s">
        <v>13</v>
      </c>
      <c r="I50" t="s">
        <v>24</v>
      </c>
      <c r="J50" t="s">
        <v>196</v>
      </c>
    </row>
    <row r="51" spans="1:10" hidden="1" x14ac:dyDescent="0.25">
      <c r="A51" t="s">
        <v>181</v>
      </c>
      <c r="B51" t="s">
        <v>273</v>
      </c>
      <c r="C51" t="s">
        <v>10</v>
      </c>
      <c r="D51" t="s">
        <v>183</v>
      </c>
      <c r="E51">
        <v>9186</v>
      </c>
      <c r="F51" t="s">
        <v>274</v>
      </c>
      <c r="G51" t="s">
        <v>185</v>
      </c>
      <c r="H51" t="s">
        <v>13</v>
      </c>
      <c r="I51" t="s">
        <v>24</v>
      </c>
      <c r="J51" t="s">
        <v>196</v>
      </c>
    </row>
    <row r="52" spans="1:10" hidden="1" x14ac:dyDescent="0.25">
      <c r="A52" t="s">
        <v>181</v>
      </c>
      <c r="B52" t="s">
        <v>275</v>
      </c>
      <c r="C52" t="s">
        <v>10</v>
      </c>
      <c r="D52" t="s">
        <v>183</v>
      </c>
      <c r="E52">
        <v>35801</v>
      </c>
      <c r="F52" t="s">
        <v>276</v>
      </c>
      <c r="G52" t="s">
        <v>185</v>
      </c>
      <c r="H52" t="s">
        <v>13</v>
      </c>
      <c r="I52" t="s">
        <v>277</v>
      </c>
      <c r="J52" t="s">
        <v>196</v>
      </c>
    </row>
    <row r="53" spans="1:10" hidden="1" x14ac:dyDescent="0.25">
      <c r="A53" t="s">
        <v>181</v>
      </c>
      <c r="B53" t="s">
        <v>278</v>
      </c>
      <c r="C53" t="s">
        <v>10</v>
      </c>
      <c r="D53" t="s">
        <v>183</v>
      </c>
      <c r="E53">
        <v>6015</v>
      </c>
      <c r="F53" t="s">
        <v>276</v>
      </c>
      <c r="G53" t="s">
        <v>188</v>
      </c>
      <c r="H53" t="s">
        <v>13</v>
      </c>
      <c r="I53" t="s">
        <v>277</v>
      </c>
      <c r="J53" t="s">
        <v>196</v>
      </c>
    </row>
    <row r="54" spans="1:10" hidden="1" x14ac:dyDescent="0.25">
      <c r="A54" t="s">
        <v>181</v>
      </c>
      <c r="B54" t="s">
        <v>279</v>
      </c>
      <c r="C54" t="s">
        <v>10</v>
      </c>
      <c r="D54" t="s">
        <v>183</v>
      </c>
      <c r="E54">
        <v>24690</v>
      </c>
      <c r="F54" t="s">
        <v>280</v>
      </c>
      <c r="G54" t="s">
        <v>185</v>
      </c>
      <c r="H54" t="s">
        <v>13</v>
      </c>
      <c r="I54" t="s">
        <v>277</v>
      </c>
      <c r="J54" t="s">
        <v>196</v>
      </c>
    </row>
    <row r="55" spans="1:10" x14ac:dyDescent="0.25">
      <c r="A55" t="s">
        <v>181</v>
      </c>
      <c r="B55" t="s">
        <v>281</v>
      </c>
      <c r="C55" t="s">
        <v>10</v>
      </c>
      <c r="D55" t="s">
        <v>183</v>
      </c>
      <c r="E55">
        <v>1892</v>
      </c>
      <c r="F55" t="s">
        <v>282</v>
      </c>
      <c r="G55" t="s">
        <v>185</v>
      </c>
      <c r="H55" t="s">
        <v>13</v>
      </c>
      <c r="I55" t="s">
        <v>25</v>
      </c>
      <c r="J55" t="s">
        <v>186</v>
      </c>
    </row>
    <row r="56" spans="1:10" hidden="1" x14ac:dyDescent="0.25">
      <c r="A56" t="s">
        <v>181</v>
      </c>
      <c r="B56" t="s">
        <v>283</v>
      </c>
      <c r="C56" t="s">
        <v>10</v>
      </c>
      <c r="D56" t="s">
        <v>183</v>
      </c>
      <c r="E56">
        <v>301</v>
      </c>
      <c r="F56" t="s">
        <v>282</v>
      </c>
      <c r="G56" t="s">
        <v>188</v>
      </c>
      <c r="H56" t="s">
        <v>13</v>
      </c>
      <c r="I56" t="s">
        <v>25</v>
      </c>
      <c r="J56" t="s">
        <v>189</v>
      </c>
    </row>
    <row r="57" spans="1:10" hidden="1" x14ac:dyDescent="0.25">
      <c r="A57" t="s">
        <v>181</v>
      </c>
      <c r="B57" t="s">
        <v>284</v>
      </c>
      <c r="C57" t="s">
        <v>10</v>
      </c>
      <c r="D57" t="s">
        <v>183</v>
      </c>
      <c r="E57">
        <v>1892</v>
      </c>
      <c r="F57" t="s">
        <v>285</v>
      </c>
      <c r="G57" t="s">
        <v>185</v>
      </c>
      <c r="H57" t="s">
        <v>13</v>
      </c>
      <c r="I57" t="s">
        <v>25</v>
      </c>
      <c r="J57" t="s">
        <v>196</v>
      </c>
    </row>
    <row r="58" spans="1:10" hidden="1" x14ac:dyDescent="0.25">
      <c r="A58" t="s">
        <v>181</v>
      </c>
      <c r="B58" t="s">
        <v>286</v>
      </c>
      <c r="C58" t="s">
        <v>10</v>
      </c>
      <c r="D58" t="s">
        <v>183</v>
      </c>
      <c r="E58">
        <v>28757</v>
      </c>
      <c r="F58" t="s">
        <v>287</v>
      </c>
      <c r="G58" t="s">
        <v>185</v>
      </c>
      <c r="H58" t="s">
        <v>86</v>
      </c>
      <c r="I58" t="s">
        <v>86</v>
      </c>
      <c r="J58" t="s">
        <v>196</v>
      </c>
    </row>
    <row r="59" spans="1:10" hidden="1" x14ac:dyDescent="0.25">
      <c r="A59" t="s">
        <v>181</v>
      </c>
      <c r="B59" t="s">
        <v>288</v>
      </c>
      <c r="C59" t="s">
        <v>10</v>
      </c>
      <c r="D59" t="s">
        <v>183</v>
      </c>
      <c r="E59">
        <v>35580</v>
      </c>
      <c r="F59" t="s">
        <v>289</v>
      </c>
      <c r="G59" t="s">
        <v>185</v>
      </c>
      <c r="H59" t="s">
        <v>13</v>
      </c>
      <c r="I59" t="s">
        <v>277</v>
      </c>
      <c r="J59" t="s">
        <v>186</v>
      </c>
    </row>
    <row r="60" spans="1:10" x14ac:dyDescent="0.25">
      <c r="A60" t="s">
        <v>181</v>
      </c>
      <c r="B60" t="s">
        <v>290</v>
      </c>
      <c r="C60" t="s">
        <v>10</v>
      </c>
      <c r="D60" t="s">
        <v>183</v>
      </c>
      <c r="E60">
        <v>900</v>
      </c>
      <c r="F60" t="s">
        <v>291</v>
      </c>
      <c r="G60" t="s">
        <v>185</v>
      </c>
      <c r="H60" t="s">
        <v>13</v>
      </c>
      <c r="I60" t="s">
        <v>26</v>
      </c>
      <c r="J60" t="s">
        <v>186</v>
      </c>
    </row>
    <row r="61" spans="1:10" hidden="1" x14ac:dyDescent="0.25">
      <c r="A61" t="s">
        <v>181</v>
      </c>
      <c r="B61" t="s">
        <v>292</v>
      </c>
      <c r="C61" t="s">
        <v>10</v>
      </c>
      <c r="D61" t="s">
        <v>183</v>
      </c>
      <c r="E61">
        <v>234</v>
      </c>
      <c r="F61" t="s">
        <v>291</v>
      </c>
      <c r="G61" t="s">
        <v>188</v>
      </c>
      <c r="H61" t="s">
        <v>13</v>
      </c>
      <c r="I61" t="s">
        <v>26</v>
      </c>
      <c r="J61" t="s">
        <v>189</v>
      </c>
    </row>
    <row r="62" spans="1:10" hidden="1" x14ac:dyDescent="0.25">
      <c r="A62" t="s">
        <v>181</v>
      </c>
      <c r="B62" t="s">
        <v>293</v>
      </c>
      <c r="C62" t="s">
        <v>10</v>
      </c>
      <c r="D62" t="s">
        <v>183</v>
      </c>
      <c r="E62">
        <v>885</v>
      </c>
      <c r="F62" t="s">
        <v>294</v>
      </c>
      <c r="G62" t="s">
        <v>185</v>
      </c>
      <c r="H62" t="s">
        <v>13</v>
      </c>
      <c r="I62" t="s">
        <v>26</v>
      </c>
      <c r="J62" t="s">
        <v>196</v>
      </c>
    </row>
    <row r="63" spans="1:10" hidden="1" x14ac:dyDescent="0.25">
      <c r="A63" t="s">
        <v>181</v>
      </c>
      <c r="B63" t="s">
        <v>295</v>
      </c>
      <c r="C63" t="s">
        <v>10</v>
      </c>
      <c r="D63" t="s">
        <v>183</v>
      </c>
      <c r="E63">
        <v>15</v>
      </c>
      <c r="F63" t="s">
        <v>296</v>
      </c>
      <c r="G63" t="s">
        <v>185</v>
      </c>
      <c r="H63" t="s">
        <v>13</v>
      </c>
      <c r="I63" t="s">
        <v>26</v>
      </c>
      <c r="J63" t="s">
        <v>196</v>
      </c>
    </row>
    <row r="64" spans="1:10" hidden="1" x14ac:dyDescent="0.25">
      <c r="A64" t="s">
        <v>181</v>
      </c>
      <c r="B64" t="s">
        <v>297</v>
      </c>
      <c r="C64" t="s">
        <v>10</v>
      </c>
      <c r="D64" t="s">
        <v>183</v>
      </c>
      <c r="E64">
        <v>562</v>
      </c>
      <c r="F64" t="s">
        <v>298</v>
      </c>
      <c r="G64" t="s">
        <v>185</v>
      </c>
      <c r="H64" t="s">
        <v>299</v>
      </c>
      <c r="I64" t="s">
        <v>86</v>
      </c>
      <c r="J64" t="s">
        <v>196</v>
      </c>
    </row>
    <row r="65" spans="1:10" x14ac:dyDescent="0.25">
      <c r="A65" t="s">
        <v>181</v>
      </c>
      <c r="B65" t="s">
        <v>300</v>
      </c>
      <c r="C65" t="s">
        <v>10</v>
      </c>
      <c r="D65" t="s">
        <v>183</v>
      </c>
      <c r="E65">
        <v>9190</v>
      </c>
      <c r="F65" t="s">
        <v>301</v>
      </c>
      <c r="G65" t="s">
        <v>185</v>
      </c>
      <c r="H65" t="s">
        <v>13</v>
      </c>
      <c r="I65" t="s">
        <v>27</v>
      </c>
      <c r="J65" t="s">
        <v>186</v>
      </c>
    </row>
    <row r="66" spans="1:10" hidden="1" x14ac:dyDescent="0.25">
      <c r="A66" t="s">
        <v>181</v>
      </c>
      <c r="B66" t="s">
        <v>302</v>
      </c>
      <c r="C66" t="s">
        <v>10</v>
      </c>
      <c r="D66" t="s">
        <v>183</v>
      </c>
      <c r="E66">
        <v>1462</v>
      </c>
      <c r="F66" t="s">
        <v>301</v>
      </c>
      <c r="G66" t="s">
        <v>188</v>
      </c>
      <c r="H66" t="s">
        <v>13</v>
      </c>
      <c r="I66" t="s">
        <v>27</v>
      </c>
      <c r="J66" t="s">
        <v>189</v>
      </c>
    </row>
    <row r="67" spans="1:10" hidden="1" x14ac:dyDescent="0.25">
      <c r="A67" t="s">
        <v>181</v>
      </c>
      <c r="B67" t="s">
        <v>303</v>
      </c>
      <c r="C67" t="s">
        <v>10</v>
      </c>
      <c r="D67" t="s">
        <v>183</v>
      </c>
      <c r="E67">
        <v>4</v>
      </c>
      <c r="F67" t="s">
        <v>304</v>
      </c>
      <c r="G67" t="s">
        <v>185</v>
      </c>
      <c r="H67" t="s">
        <v>305</v>
      </c>
      <c r="I67" t="s">
        <v>86</v>
      </c>
      <c r="J67" t="s">
        <v>196</v>
      </c>
    </row>
    <row r="68" spans="1:10" hidden="1" x14ac:dyDescent="0.25">
      <c r="A68" t="s">
        <v>181</v>
      </c>
      <c r="B68" t="s">
        <v>306</v>
      </c>
      <c r="C68" t="s">
        <v>10</v>
      </c>
      <c r="D68" t="s">
        <v>183</v>
      </c>
      <c r="E68">
        <v>1</v>
      </c>
      <c r="F68" t="s">
        <v>307</v>
      </c>
      <c r="G68" t="s">
        <v>90</v>
      </c>
      <c r="H68" t="s">
        <v>305</v>
      </c>
      <c r="I68" t="s">
        <v>86</v>
      </c>
      <c r="J68" t="s">
        <v>196</v>
      </c>
    </row>
    <row r="69" spans="1:10" hidden="1" x14ac:dyDescent="0.25">
      <c r="A69" t="s">
        <v>181</v>
      </c>
      <c r="B69" t="s">
        <v>308</v>
      </c>
      <c r="C69" t="s">
        <v>10</v>
      </c>
      <c r="D69" t="s">
        <v>183</v>
      </c>
      <c r="E69">
        <v>251465</v>
      </c>
      <c r="F69" t="s">
        <v>309</v>
      </c>
      <c r="G69" t="s">
        <v>185</v>
      </c>
      <c r="H69" t="s">
        <v>86</v>
      </c>
      <c r="I69" t="s">
        <v>86</v>
      </c>
      <c r="J69" t="s">
        <v>196</v>
      </c>
    </row>
    <row r="70" spans="1:10" hidden="1" x14ac:dyDescent="0.25">
      <c r="A70" t="s">
        <v>181</v>
      </c>
      <c r="B70" t="s">
        <v>310</v>
      </c>
      <c r="C70" t="s">
        <v>10</v>
      </c>
      <c r="D70" t="s">
        <v>183</v>
      </c>
      <c r="E70">
        <v>20730</v>
      </c>
      <c r="F70" t="s">
        <v>311</v>
      </c>
      <c r="G70" t="s">
        <v>185</v>
      </c>
      <c r="H70" t="s">
        <v>86</v>
      </c>
      <c r="I70" t="s">
        <v>86</v>
      </c>
      <c r="J70" t="s">
        <v>196</v>
      </c>
    </row>
    <row r="71" spans="1:10" hidden="1" x14ac:dyDescent="0.25">
      <c r="A71" t="s">
        <v>181</v>
      </c>
      <c r="B71" t="s">
        <v>312</v>
      </c>
      <c r="C71" t="s">
        <v>10</v>
      </c>
      <c r="D71" t="s">
        <v>183</v>
      </c>
      <c r="E71">
        <v>211486</v>
      </c>
      <c r="F71" t="s">
        <v>313</v>
      </c>
      <c r="G71" t="s">
        <v>185</v>
      </c>
      <c r="H71" t="s">
        <v>86</v>
      </c>
      <c r="I71" t="s">
        <v>86</v>
      </c>
      <c r="J71" t="s">
        <v>196</v>
      </c>
    </row>
    <row r="72" spans="1:10" hidden="1" x14ac:dyDescent="0.25">
      <c r="A72" t="s">
        <v>181</v>
      </c>
      <c r="B72" t="s">
        <v>314</v>
      </c>
      <c r="C72" t="s">
        <v>10</v>
      </c>
      <c r="D72" t="s">
        <v>183</v>
      </c>
      <c r="E72">
        <v>67608</v>
      </c>
      <c r="F72" t="s">
        <v>315</v>
      </c>
      <c r="G72" t="s">
        <v>185</v>
      </c>
      <c r="H72" t="s">
        <v>86</v>
      </c>
      <c r="I72" t="s">
        <v>86</v>
      </c>
      <c r="J72" t="s">
        <v>196</v>
      </c>
    </row>
    <row r="73" spans="1:10" hidden="1" x14ac:dyDescent="0.25">
      <c r="A73" t="s">
        <v>181</v>
      </c>
      <c r="B73" t="s">
        <v>316</v>
      </c>
      <c r="C73" t="s">
        <v>10</v>
      </c>
      <c r="D73" t="s">
        <v>183</v>
      </c>
      <c r="E73">
        <v>6</v>
      </c>
      <c r="F73" t="s">
        <v>317</v>
      </c>
      <c r="G73" t="s">
        <v>185</v>
      </c>
      <c r="H73" t="s">
        <v>318</v>
      </c>
      <c r="I73" t="s">
        <v>318</v>
      </c>
      <c r="J73" t="s">
        <v>196</v>
      </c>
    </row>
    <row r="74" spans="1:10" hidden="1" x14ac:dyDescent="0.25">
      <c r="A74" t="s">
        <v>181</v>
      </c>
      <c r="B74" t="s">
        <v>319</v>
      </c>
      <c r="C74" t="s">
        <v>10</v>
      </c>
      <c r="D74" t="s">
        <v>183</v>
      </c>
      <c r="E74">
        <v>91</v>
      </c>
      <c r="F74" t="s">
        <v>320</v>
      </c>
      <c r="G74" t="s">
        <v>185</v>
      </c>
      <c r="H74" t="s">
        <v>321</v>
      </c>
      <c r="I74" t="s">
        <v>321</v>
      </c>
      <c r="J74" t="s">
        <v>196</v>
      </c>
    </row>
    <row r="75" spans="1:10" hidden="1" x14ac:dyDescent="0.25">
      <c r="A75" t="s">
        <v>181</v>
      </c>
      <c r="B75" t="s">
        <v>322</v>
      </c>
      <c r="C75" t="s">
        <v>10</v>
      </c>
      <c r="D75" t="s">
        <v>183</v>
      </c>
      <c r="E75">
        <v>96</v>
      </c>
      <c r="F75" t="s">
        <v>323</v>
      </c>
      <c r="G75" t="s">
        <v>185</v>
      </c>
      <c r="H75" t="s">
        <v>324</v>
      </c>
      <c r="I75" t="s">
        <v>324</v>
      </c>
      <c r="J75" t="s">
        <v>186</v>
      </c>
    </row>
    <row r="76" spans="1:10" hidden="1" x14ac:dyDescent="0.25">
      <c r="A76" t="s">
        <v>181</v>
      </c>
      <c r="B76" t="s">
        <v>325</v>
      </c>
      <c r="C76" t="s">
        <v>10</v>
      </c>
      <c r="D76" t="s">
        <v>183</v>
      </c>
      <c r="E76">
        <v>8</v>
      </c>
      <c r="F76" t="s">
        <v>326</v>
      </c>
      <c r="G76" t="s">
        <v>185</v>
      </c>
      <c r="H76" t="s">
        <v>324</v>
      </c>
      <c r="I76" t="s">
        <v>324</v>
      </c>
      <c r="J76" t="s">
        <v>196</v>
      </c>
    </row>
    <row r="77" spans="1:10" hidden="1" x14ac:dyDescent="0.25">
      <c r="A77" t="s">
        <v>181</v>
      </c>
      <c r="B77" t="s">
        <v>327</v>
      </c>
      <c r="C77" t="s">
        <v>10</v>
      </c>
      <c r="D77" t="s">
        <v>183</v>
      </c>
      <c r="E77">
        <v>88</v>
      </c>
      <c r="F77" t="s">
        <v>328</v>
      </c>
      <c r="G77" t="s">
        <v>185</v>
      </c>
      <c r="H77" t="s">
        <v>324</v>
      </c>
      <c r="I77" t="s">
        <v>324</v>
      </c>
      <c r="J77" t="s">
        <v>196</v>
      </c>
    </row>
    <row r="78" spans="1:10" x14ac:dyDescent="0.25">
      <c r="A78" t="s">
        <v>181</v>
      </c>
      <c r="B78" t="s">
        <v>329</v>
      </c>
      <c r="C78" t="s">
        <v>10</v>
      </c>
      <c r="D78" t="s">
        <v>183</v>
      </c>
      <c r="E78">
        <v>18</v>
      </c>
      <c r="F78" t="s">
        <v>330</v>
      </c>
      <c r="G78" t="s">
        <v>185</v>
      </c>
      <c r="H78" t="s">
        <v>13</v>
      </c>
      <c r="I78" t="s">
        <v>28</v>
      </c>
      <c r="J78" t="s">
        <v>186</v>
      </c>
    </row>
    <row r="79" spans="1:10" hidden="1" x14ac:dyDescent="0.25">
      <c r="A79" t="s">
        <v>181</v>
      </c>
      <c r="B79" t="s">
        <v>331</v>
      </c>
      <c r="C79" t="s">
        <v>10</v>
      </c>
      <c r="D79" t="s">
        <v>183</v>
      </c>
      <c r="E79">
        <v>3</v>
      </c>
      <c r="F79" t="s">
        <v>330</v>
      </c>
      <c r="G79" t="s">
        <v>188</v>
      </c>
      <c r="H79" t="s">
        <v>13</v>
      </c>
      <c r="I79" t="s">
        <v>28</v>
      </c>
      <c r="J79" t="s">
        <v>189</v>
      </c>
    </row>
    <row r="81" spans="1:1" x14ac:dyDescent="0.25">
      <c r="A81" s="1" t="s">
        <v>165</v>
      </c>
    </row>
    <row r="82" spans="1:1" x14ac:dyDescent="0.25">
      <c r="A82" t="s">
        <v>332</v>
      </c>
    </row>
    <row r="83" spans="1:1" x14ac:dyDescent="0.25">
      <c r="A83" t="s">
        <v>333</v>
      </c>
    </row>
    <row r="84" spans="1:1" x14ac:dyDescent="0.25">
      <c r="A84" t="s">
        <v>334</v>
      </c>
    </row>
    <row r="86" spans="1:1" x14ac:dyDescent="0.25">
      <c r="A86" t="s">
        <v>335</v>
      </c>
    </row>
    <row r="87" spans="1:1" x14ac:dyDescent="0.25">
      <c r="A87" t="s">
        <v>336</v>
      </c>
    </row>
    <row r="88" spans="1:1" x14ac:dyDescent="0.25">
      <c r="A88" t="s">
        <v>337</v>
      </c>
    </row>
    <row r="89" spans="1:1" x14ac:dyDescent="0.25">
      <c r="A89" t="s">
        <v>338</v>
      </c>
    </row>
    <row r="90" spans="1:1" x14ac:dyDescent="0.25">
      <c r="A90" t="s">
        <v>339</v>
      </c>
    </row>
  </sheetData>
  <autoFilter ref="A3:J79" xr:uid="{C95F273B-9B2D-4904-9D8C-58EA4BF3E030}">
    <filterColumn colId="1">
      <filters>
        <filter val="ARICB"/>
        <filter val="CLICB"/>
        <filter val="CLICP"/>
        <filter val="DAICB"/>
        <filter val="EMICB"/>
        <filter val="HLICB"/>
        <filter val="KSICB"/>
        <filter val="LUICB"/>
        <filter val="MMICB"/>
        <filter val="MSICB"/>
        <filter val="NGICB"/>
        <filter val="NGICP"/>
        <filter val="OPICB"/>
        <filter val="PCICB"/>
        <filter val="PQICB"/>
        <filter val="SGICB"/>
        <filter val="WXICB"/>
      </filters>
    </filterColumn>
  </autoFilter>
  <sortState xmlns:xlrd2="http://schemas.microsoft.com/office/spreadsheetml/2017/richdata2" ref="A4:I875">
    <sortCondition ref="B4:B875"/>
    <sortCondition ref="G4:G87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ABC3E-F7F0-4DBB-A4E6-625CA263FA43}">
  <sheetPr>
    <tabColor rgb="FFE18FD7"/>
  </sheetPr>
  <dimension ref="A1:K77"/>
  <sheetViews>
    <sheetView zoomScaleNormal="100" workbookViewId="0">
      <selection activeCell="I23" sqref="I23"/>
    </sheetView>
  </sheetViews>
  <sheetFormatPr defaultRowHeight="15" x14ac:dyDescent="0.25"/>
  <cols>
    <col min="1" max="1" width="37" bestFit="1" customWidth="1"/>
    <col min="2" max="2" width="11.7109375" bestFit="1" customWidth="1"/>
    <col min="3" max="4" width="18.7109375" bestFit="1" customWidth="1"/>
    <col min="5" max="5" width="32.28515625" bestFit="1" customWidth="1"/>
    <col min="6" max="6" width="17.7109375" bestFit="1" customWidth="1"/>
    <col min="7" max="7" width="18.28515625" bestFit="1" customWidth="1"/>
    <col min="10" max="10" width="13.7109375" customWidth="1"/>
    <col min="11" max="11" width="17.85546875" bestFit="1" customWidth="1"/>
  </cols>
  <sheetData>
    <row r="1" spans="1:11" ht="18.75" x14ac:dyDescent="0.3">
      <c r="A1" s="102" t="s">
        <v>340</v>
      </c>
    </row>
    <row r="2" spans="1:11" ht="15.75" thickBot="1" x14ac:dyDescent="0.3">
      <c r="F2" s="367"/>
    </row>
    <row r="3" spans="1:11" x14ac:dyDescent="0.25">
      <c r="A3" s="103" t="s">
        <v>341</v>
      </c>
      <c r="B3" s="104" t="s">
        <v>342</v>
      </c>
      <c r="C3" s="105" t="s">
        <v>343</v>
      </c>
      <c r="D3" s="105" t="s">
        <v>344</v>
      </c>
      <c r="E3" s="105" t="s">
        <v>345</v>
      </c>
      <c r="F3" s="105" t="s">
        <v>346</v>
      </c>
      <c r="G3" s="106" t="s">
        <v>347</v>
      </c>
    </row>
    <row r="4" spans="1:11" x14ac:dyDescent="0.25">
      <c r="A4" s="107" t="s">
        <v>348</v>
      </c>
      <c r="B4" s="108" t="s">
        <v>92</v>
      </c>
      <c r="C4" s="109">
        <f t="shared" ref="C4:C20" si="0">SUMIFS($D$30:$D$74,$A$30:$A$74,$A4,$B$30:$B$74,$B4)</f>
        <v>6.137751183575204E-3</v>
      </c>
      <c r="D4" s="17">
        <f t="shared" ref="D4:D25" si="1">SUMIFS($F$30:$F$74,$A$30:$A$74,$A4,$B$30:$B$74,$B4)</f>
        <v>0.21</v>
      </c>
      <c r="E4" s="109">
        <f>C4/D4</f>
        <v>2.9227386588453353E-2</v>
      </c>
      <c r="F4">
        <v>0.183094903</v>
      </c>
      <c r="G4" s="110">
        <f t="shared" ref="G4:G9" si="2">E4*F4</f>
        <v>5.3513855123563676E-3</v>
      </c>
      <c r="I4" s="111"/>
      <c r="J4" t="s">
        <v>349</v>
      </c>
    </row>
    <row r="5" spans="1:11" x14ac:dyDescent="0.25">
      <c r="A5" s="107" t="s">
        <v>350</v>
      </c>
      <c r="B5" s="108" t="s">
        <v>92</v>
      </c>
      <c r="C5" s="112">
        <f t="shared" si="0"/>
        <v>3.1366350235914192E-2</v>
      </c>
      <c r="D5" s="17">
        <f t="shared" si="1"/>
        <v>5</v>
      </c>
      <c r="E5" s="109">
        <f t="shared" ref="E5:E9" si="3">C5/D5</f>
        <v>6.2732700471828384E-3</v>
      </c>
      <c r="F5">
        <v>2.1495200969999999</v>
      </c>
      <c r="G5" s="113">
        <f t="shared" si="2"/>
        <v>1.3484520040327649E-2</v>
      </c>
      <c r="I5" s="111"/>
      <c r="J5" t="s">
        <v>351</v>
      </c>
    </row>
    <row r="6" spans="1:11" x14ac:dyDescent="0.25">
      <c r="A6" s="107" t="s">
        <v>352</v>
      </c>
      <c r="B6" s="108" t="s">
        <v>92</v>
      </c>
      <c r="C6" s="114">
        <f t="shared" si="0"/>
        <v>0.19813853278018961</v>
      </c>
      <c r="D6" s="17">
        <f t="shared" si="1"/>
        <v>41.884</v>
      </c>
      <c r="E6" s="109">
        <f t="shared" si="3"/>
        <v>4.7306497177965244E-3</v>
      </c>
      <c r="F6">
        <v>40.635716889999998</v>
      </c>
      <c r="G6" s="115">
        <f t="shared" si="2"/>
        <v>0.19223334263813796</v>
      </c>
      <c r="I6" s="111"/>
      <c r="J6" t="s">
        <v>353</v>
      </c>
    </row>
    <row r="7" spans="1:11" x14ac:dyDescent="0.25">
      <c r="A7" s="107" t="s">
        <v>354</v>
      </c>
      <c r="B7" s="108" t="s">
        <v>355</v>
      </c>
      <c r="C7" s="112">
        <f t="shared" si="0"/>
        <v>5.8309865588979347E-2</v>
      </c>
      <c r="D7">
        <f t="shared" si="1"/>
        <v>4.7</v>
      </c>
      <c r="E7" s="109">
        <f t="shared" si="3"/>
        <v>1.2406354380633903E-2</v>
      </c>
      <c r="F7">
        <v>5.0728590699999998</v>
      </c>
      <c r="G7" s="113">
        <f t="shared" si="2"/>
        <v>6.2935687345432922E-2</v>
      </c>
      <c r="I7" s="111"/>
      <c r="J7" t="s">
        <v>356</v>
      </c>
    </row>
    <row r="8" spans="1:11" x14ac:dyDescent="0.25">
      <c r="A8" s="107" t="s">
        <v>357</v>
      </c>
      <c r="B8" s="108" t="s">
        <v>96</v>
      </c>
      <c r="C8" s="112">
        <f t="shared" si="0"/>
        <v>2.3526655417611706E-2</v>
      </c>
      <c r="D8" s="17">
        <f t="shared" si="1"/>
        <v>3.71</v>
      </c>
      <c r="E8" s="109">
        <f t="shared" si="3"/>
        <v>6.3414165546123195E-3</v>
      </c>
      <c r="F8">
        <v>3.750301715</v>
      </c>
      <c r="G8" s="113">
        <f t="shared" si="2"/>
        <v>2.3782225380291972E-2</v>
      </c>
      <c r="I8" s="111"/>
    </row>
    <row r="9" spans="1:11" x14ac:dyDescent="0.25">
      <c r="A9" s="107" t="s">
        <v>358</v>
      </c>
      <c r="B9" s="108" t="s">
        <v>92</v>
      </c>
      <c r="C9" s="114">
        <f t="shared" si="0"/>
        <v>0.57295847486647877</v>
      </c>
      <c r="D9" s="17">
        <f t="shared" si="1"/>
        <v>10.384</v>
      </c>
      <c r="E9" s="109">
        <f t="shared" si="3"/>
        <v>5.5177048812257198E-2</v>
      </c>
      <c r="F9">
        <v>7.1629707519999997</v>
      </c>
      <c r="G9" s="115">
        <f t="shared" si="2"/>
        <v>0.39523158682387466</v>
      </c>
      <c r="I9" s="111"/>
    </row>
    <row r="10" spans="1:11" x14ac:dyDescent="0.25">
      <c r="A10" s="107" t="s">
        <v>359</v>
      </c>
      <c r="B10" s="108" t="s">
        <v>360</v>
      </c>
      <c r="C10" s="116">
        <f t="shared" si="0"/>
        <v>3.766769977788148E-6</v>
      </c>
      <c r="D10" s="111">
        <f t="shared" si="1"/>
        <v>0</v>
      </c>
      <c r="E10" s="109" t="s">
        <v>86</v>
      </c>
      <c r="F10" t="s">
        <v>86</v>
      </c>
      <c r="G10" s="117">
        <f>C10</f>
        <v>3.766769977788148E-6</v>
      </c>
      <c r="I10" s="111"/>
    </row>
    <row r="11" spans="1:11" x14ac:dyDescent="0.25">
      <c r="A11" s="107" t="s">
        <v>359</v>
      </c>
      <c r="B11" s="108" t="s">
        <v>96</v>
      </c>
      <c r="C11" s="118">
        <f t="shared" si="0"/>
        <v>8.6597013192324458E-6</v>
      </c>
      <c r="D11" s="111">
        <f t="shared" si="1"/>
        <v>0</v>
      </c>
      <c r="E11" s="109" t="s">
        <v>86</v>
      </c>
      <c r="F11" t="s">
        <v>86</v>
      </c>
      <c r="G11" s="119">
        <f>C11</f>
        <v>8.6597013192324458E-6</v>
      </c>
      <c r="I11" s="111"/>
    </row>
    <row r="12" spans="1:11" x14ac:dyDescent="0.25">
      <c r="A12" s="107" t="s">
        <v>359</v>
      </c>
      <c r="B12" s="108" t="s">
        <v>361</v>
      </c>
      <c r="C12" s="120">
        <f t="shared" si="0"/>
        <v>1.4342543683642907E-4</v>
      </c>
      <c r="D12" s="111">
        <f t="shared" si="1"/>
        <v>0</v>
      </c>
      <c r="E12" s="109" t="s">
        <v>86</v>
      </c>
      <c r="F12" t="s">
        <v>86</v>
      </c>
      <c r="G12" s="121">
        <f>C12</f>
        <v>1.4342543683642907E-4</v>
      </c>
      <c r="I12" s="111"/>
      <c r="J12" t="s">
        <v>1458</v>
      </c>
    </row>
    <row r="13" spans="1:11" x14ac:dyDescent="0.25">
      <c r="A13" s="107" t="s">
        <v>362</v>
      </c>
      <c r="B13" s="108" t="s">
        <v>360</v>
      </c>
      <c r="C13" s="109">
        <f t="shared" si="0"/>
        <v>1.6981980000000002E-3</v>
      </c>
      <c r="D13" s="17">
        <f t="shared" si="1"/>
        <v>0.31343539999999998</v>
      </c>
      <c r="E13" s="109">
        <f t="shared" ref="E13:E21" si="4">C13/D13</f>
        <v>5.418015961183709E-3</v>
      </c>
      <c r="F13">
        <v>0.280624443</v>
      </c>
      <c r="G13" s="110">
        <f t="shared" ref="G13:G21" si="5">E13*F13</f>
        <v>1.520427711272288E-3</v>
      </c>
      <c r="I13" s="111"/>
      <c r="J13" s="1" t="s">
        <v>1246</v>
      </c>
      <c r="K13" s="1" t="s">
        <v>1474</v>
      </c>
    </row>
    <row r="14" spans="1:11" ht="18" x14ac:dyDescent="0.35">
      <c r="A14" s="107" t="s">
        <v>362</v>
      </c>
      <c r="B14" s="108" t="s">
        <v>96</v>
      </c>
      <c r="C14" s="109">
        <f t="shared" si="0"/>
        <v>9.3968999999999997E-3</v>
      </c>
      <c r="D14" s="17">
        <f t="shared" si="1"/>
        <v>0.29499799999999998</v>
      </c>
      <c r="E14" s="109">
        <f t="shared" si="4"/>
        <v>3.1854114265181463E-2</v>
      </c>
      <c r="F14">
        <v>0.27574140200000002</v>
      </c>
      <c r="G14" s="110">
        <f t="shared" si="5"/>
        <v>8.7834981269493372E-3</v>
      </c>
      <c r="I14" s="111"/>
      <c r="J14" t="s">
        <v>560</v>
      </c>
      <c r="K14" s="415">
        <f>SUMIF($B$4:$B$25,J14,$G$4:$G$25)</f>
        <v>0.6403508071570545</v>
      </c>
    </row>
    <row r="15" spans="1:11" ht="18" x14ac:dyDescent="0.35">
      <c r="A15" s="107" t="s">
        <v>362</v>
      </c>
      <c r="B15" s="108" t="s">
        <v>363</v>
      </c>
      <c r="C15" s="109">
        <f t="shared" si="0"/>
        <v>5.6993999999999994E-3</v>
      </c>
      <c r="D15" s="17">
        <f t="shared" si="1"/>
        <v>0.6343399999999999</v>
      </c>
      <c r="E15" s="109">
        <f t="shared" si="4"/>
        <v>8.9847715736040609E-3</v>
      </c>
      <c r="F15">
        <v>0.50900401699999998</v>
      </c>
      <c r="G15" s="110">
        <f t="shared" si="5"/>
        <v>4.5732848227918775E-3</v>
      </c>
      <c r="I15" s="111"/>
      <c r="J15" t="s">
        <v>1459</v>
      </c>
      <c r="K15" s="415">
        <f t="shared" ref="K15:K18" si="6">SUMIF($B$4:$B$25,J15,$G$4:$G$25)</f>
        <v>9.8122017609491574E-2</v>
      </c>
    </row>
    <row r="16" spans="1:11" ht="18" x14ac:dyDescent="0.35">
      <c r="A16" s="107" t="s">
        <v>362</v>
      </c>
      <c r="B16" s="108" t="s">
        <v>361</v>
      </c>
      <c r="C16" s="112">
        <f t="shared" si="0"/>
        <v>1.7123400063000001E-2</v>
      </c>
      <c r="D16" s="17">
        <f t="shared" si="1"/>
        <v>2.6028900026999997</v>
      </c>
      <c r="E16" s="109">
        <f t="shared" si="4"/>
        <v>6.5786107154884588E-3</v>
      </c>
      <c r="F16">
        <v>2.4304208730000001</v>
      </c>
      <c r="G16" s="113">
        <f t="shared" si="5"/>
        <v>1.5988792798264616E-2</v>
      </c>
      <c r="I16" s="111"/>
      <c r="J16" t="s">
        <v>563</v>
      </c>
      <c r="K16" s="415">
        <f t="shared" si="6"/>
        <v>3.2574383208560542E-2</v>
      </c>
    </row>
    <row r="17" spans="1:11" x14ac:dyDescent="0.25">
      <c r="A17" s="107" t="s">
        <v>362</v>
      </c>
      <c r="B17" s="108" t="s">
        <v>355</v>
      </c>
      <c r="C17" s="109">
        <f t="shared" si="0"/>
        <v>2.4675000000000001E-3</v>
      </c>
      <c r="D17" s="17">
        <f t="shared" si="1"/>
        <v>0.73789999999999989</v>
      </c>
      <c r="E17" s="109">
        <f t="shared" si="4"/>
        <v>3.3439490445859878E-3</v>
      </c>
      <c r="F17">
        <v>0.71813042199999999</v>
      </c>
      <c r="G17" s="110">
        <f t="shared" si="5"/>
        <v>2.4013915385350322E-3</v>
      </c>
      <c r="I17" s="111"/>
      <c r="J17" t="s">
        <v>360</v>
      </c>
      <c r="K17" s="415">
        <f>SUMIF($B$4:$B$25,J17,$G$4:$G$25)+G22</f>
        <v>0.72973331953218457</v>
      </c>
    </row>
    <row r="18" spans="1:11" ht="18" x14ac:dyDescent="0.35">
      <c r="A18" s="107" t="s">
        <v>364</v>
      </c>
      <c r="B18" s="108" t="s">
        <v>361</v>
      </c>
      <c r="C18" s="109">
        <f t="shared" si="0"/>
        <v>3.672862753492402E-3</v>
      </c>
      <c r="D18">
        <f t="shared" si="1"/>
        <v>0.2</v>
      </c>
      <c r="E18" s="109">
        <f t="shared" si="4"/>
        <v>1.8364313767462007E-2</v>
      </c>
      <c r="F18">
        <v>0.17072531899999999</v>
      </c>
      <c r="G18" s="110">
        <f t="shared" si="5"/>
        <v>3.1352533261660427E-3</v>
      </c>
      <c r="I18" s="111"/>
      <c r="J18" t="s">
        <v>1460</v>
      </c>
      <c r="K18" s="415">
        <f t="shared" si="6"/>
        <v>4.5732848227918775E-3</v>
      </c>
    </row>
    <row r="19" spans="1:11" x14ac:dyDescent="0.25">
      <c r="A19" s="107" t="s">
        <v>364</v>
      </c>
      <c r="B19" s="108" t="s">
        <v>355</v>
      </c>
      <c r="C19" s="112">
        <f t="shared" si="0"/>
        <v>2.4307708273425863E-2</v>
      </c>
      <c r="D19">
        <f t="shared" si="1"/>
        <v>0.6</v>
      </c>
      <c r="E19" s="109">
        <f t="shared" si="4"/>
        <v>4.051284712237644E-2</v>
      </c>
      <c r="F19">
        <v>0.80924795599999999</v>
      </c>
      <c r="G19" s="113">
        <f t="shared" si="5"/>
        <v>3.2784938725523613E-2</v>
      </c>
      <c r="I19" s="111"/>
      <c r="J19" t="s">
        <v>361</v>
      </c>
      <c r="K19" s="415">
        <f>SUMIF($B$4:$B$25,J19,$G$4:$G$25)+G24</f>
        <v>1.953862194758909E-2</v>
      </c>
    </row>
    <row r="20" spans="1:11" x14ac:dyDescent="0.25">
      <c r="A20" s="107" t="s">
        <v>365</v>
      </c>
      <c r="B20" s="108" t="s">
        <v>92</v>
      </c>
      <c r="C20" s="118">
        <f t="shared" si="0"/>
        <v>2.490152588784062E-5</v>
      </c>
      <c r="D20" s="15">
        <f t="shared" si="1"/>
        <v>3.9689999999999994E-3</v>
      </c>
      <c r="E20" s="109">
        <f t="shared" si="4"/>
        <v>6.2740050107938077E-3</v>
      </c>
      <c r="F20">
        <v>4.2233599999999998E-3</v>
      </c>
      <c r="G20" s="119">
        <f t="shared" si="5"/>
        <v>2.6497381802386135E-5</v>
      </c>
      <c r="I20" s="111"/>
      <c r="K20" s="415">
        <f>SUM(K14:K19)</f>
        <v>1.5248924342776722</v>
      </c>
    </row>
    <row r="21" spans="1:11" x14ac:dyDescent="0.25">
      <c r="A21" s="107" t="s">
        <v>365</v>
      </c>
      <c r="B21" s="108" t="s">
        <v>360</v>
      </c>
      <c r="C21" s="114">
        <f>SUMIFS($D$30:$D$74,$A$30:$A$74,$A21,$B$30:$B$74,$B21)-C22</f>
        <v>0.53095555284366303</v>
      </c>
      <c r="D21" s="17">
        <f t="shared" si="1"/>
        <v>161.229714</v>
      </c>
      <c r="E21" s="109">
        <f t="shared" si="4"/>
        <v>3.2931619096196068E-3</v>
      </c>
      <c r="F21">
        <v>189.01773850000001</v>
      </c>
      <c r="G21" s="115">
        <f t="shared" si="5"/>
        <v>0.6224660166706395</v>
      </c>
      <c r="I21" s="111"/>
    </row>
    <row r="22" spans="1:11" x14ac:dyDescent="0.25">
      <c r="A22" s="107" t="s">
        <v>365</v>
      </c>
      <c r="B22" s="108" t="s">
        <v>366</v>
      </c>
      <c r="C22" s="14">
        <f>D71</f>
        <v>0.10574310838029502</v>
      </c>
      <c r="D22" s="111">
        <f t="shared" si="1"/>
        <v>0</v>
      </c>
      <c r="E22" s="109" t="s">
        <v>86</v>
      </c>
      <c r="F22" t="s">
        <v>86</v>
      </c>
      <c r="G22" s="115">
        <f>C22</f>
        <v>0.10574310838029502</v>
      </c>
      <c r="I22" s="111"/>
    </row>
    <row r="23" spans="1:11" x14ac:dyDescent="0.25">
      <c r="A23" s="107" t="s">
        <v>365</v>
      </c>
      <c r="B23" s="108" t="s">
        <v>361</v>
      </c>
      <c r="C23" s="120">
        <f>SUMIFS($D$30:$D$74,$A$30:$A$74,$A23,$B$30:$B$74,$B23)-C24</f>
        <v>1.5613554366973459E-4</v>
      </c>
      <c r="D23" s="16">
        <f t="shared" si="1"/>
        <v>2.6519999999999998E-2</v>
      </c>
      <c r="E23" s="109">
        <f>C23/D23</f>
        <v>5.8874639392810938E-3</v>
      </c>
      <c r="F23">
        <v>2.2430616E-2</v>
      </c>
      <c r="G23" s="121">
        <f>E23*F23</f>
        <v>1.3205944283586153E-4</v>
      </c>
      <c r="I23" s="111"/>
    </row>
    <row r="24" spans="1:11" x14ac:dyDescent="0.25">
      <c r="A24" s="107" t="s">
        <v>365</v>
      </c>
      <c r="B24" s="108" t="s">
        <v>367</v>
      </c>
      <c r="C24" s="14">
        <f>D72</f>
        <v>1.390909434861379E-4</v>
      </c>
      <c r="D24" s="111">
        <f t="shared" si="1"/>
        <v>0</v>
      </c>
      <c r="E24" s="109" t="s">
        <v>86</v>
      </c>
      <c r="F24" t="s">
        <v>86</v>
      </c>
      <c r="G24" s="121">
        <f>C24</f>
        <v>1.390909434861379E-4</v>
      </c>
      <c r="I24" s="111"/>
    </row>
    <row r="25" spans="1:11" ht="15.75" thickBot="1" x14ac:dyDescent="0.3">
      <c r="A25" s="122" t="s">
        <v>368</v>
      </c>
      <c r="B25" s="123" t="s">
        <v>92</v>
      </c>
      <c r="C25" s="124">
        <f>SUMIFS($D$30:$D$74,$A$30:$A$74,$A25,$B$30:$B$74,$B25)</f>
        <v>4.4242613692019282E-2</v>
      </c>
      <c r="D25" s="17">
        <f t="shared" si="1"/>
        <v>7.0529999999999999</v>
      </c>
      <c r="E25" s="125">
        <f>C25/D25</f>
        <v>6.2728787313227393E-3</v>
      </c>
      <c r="F25">
        <v>5.4239012449999997</v>
      </c>
      <c r="G25" s="126">
        <f>E25*F25</f>
        <v>3.4023474760555422E-2</v>
      </c>
      <c r="I25" s="111"/>
    </row>
    <row r="26" spans="1:11" ht="15.75" thickBot="1" x14ac:dyDescent="0.3">
      <c r="A26" s="127" t="s">
        <v>369</v>
      </c>
      <c r="B26" s="128"/>
      <c r="C26" s="129">
        <f>SUM(C4:C25)</f>
        <v>1.6362208539998218</v>
      </c>
      <c r="D26" s="130">
        <f>SUM(D4:D25)</f>
        <v>239.58476640269998</v>
      </c>
      <c r="E26" s="131"/>
      <c r="F26" s="130">
        <f>SUM(F4:F25)</f>
        <v>258.61665158000005</v>
      </c>
      <c r="G26" s="360">
        <f>SUM(G4:G25)</f>
        <v>1.5248924342776722</v>
      </c>
    </row>
    <row r="28" spans="1:11" s="81" customFormat="1" x14ac:dyDescent="0.25">
      <c r="A28" s="81" t="s">
        <v>370</v>
      </c>
    </row>
    <row r="29" spans="1:11" x14ac:dyDescent="0.25">
      <c r="A29" s="1" t="s">
        <v>371</v>
      </c>
      <c r="B29" s="1" t="s">
        <v>342</v>
      </c>
      <c r="C29" s="1" t="s">
        <v>372</v>
      </c>
      <c r="D29" s="1" t="s">
        <v>343</v>
      </c>
      <c r="E29" s="1" t="s">
        <v>373</v>
      </c>
      <c r="F29" s="1" t="s">
        <v>344</v>
      </c>
      <c r="G29" t="s">
        <v>374</v>
      </c>
    </row>
    <row r="30" spans="1:11" x14ac:dyDescent="0.25">
      <c r="A30" t="s">
        <v>348</v>
      </c>
      <c r="B30" t="s">
        <v>92</v>
      </c>
      <c r="C30" t="s">
        <v>375</v>
      </c>
      <c r="D30">
        <v>6.137751183575204E-3</v>
      </c>
      <c r="E30">
        <v>210</v>
      </c>
      <c r="F30" cm="1">
        <f t="array" ref="F30">($E30/1000)*_xlfn.XLOOKUP($B30&amp;$C30,IPPU_GWP!$A:$A&amp;IPPU_GWP!$B:$B,IPPU_GWP!$C:$C)</f>
        <v>0.21</v>
      </c>
    </row>
    <row r="31" spans="1:11" x14ac:dyDescent="0.25">
      <c r="A31" t="s">
        <v>350</v>
      </c>
      <c r="B31" t="s">
        <v>92</v>
      </c>
      <c r="C31" t="s">
        <v>375</v>
      </c>
      <c r="D31">
        <v>3.1366350235914192E-2</v>
      </c>
      <c r="E31">
        <v>5000</v>
      </c>
      <c r="F31" cm="1">
        <f t="array" ref="F31">($E31/1000)*_xlfn.XLOOKUP($B31&amp;$C31,IPPU_GWP!$A:$A&amp;IPPU_GWP!$B:$B,IPPU_GWP!$C:$C)</f>
        <v>5</v>
      </c>
    </row>
    <row r="32" spans="1:11" x14ac:dyDescent="0.25">
      <c r="A32" t="s">
        <v>352</v>
      </c>
      <c r="B32" t="s">
        <v>92</v>
      </c>
      <c r="C32" t="s">
        <v>375</v>
      </c>
      <c r="D32">
        <v>0.19813853278018961</v>
      </c>
      <c r="E32">
        <v>41884</v>
      </c>
      <c r="F32" cm="1">
        <f t="array" ref="F32">($E32/1000)*_xlfn.XLOOKUP($B32&amp;$C32,IPPU_GWP!$A:$A&amp;IPPU_GWP!$B:$B,IPPU_GWP!$C:$C)</f>
        <v>41.884</v>
      </c>
    </row>
    <row r="33" spans="1:7" x14ac:dyDescent="0.25">
      <c r="A33" t="s">
        <v>354</v>
      </c>
      <c r="B33" t="s">
        <v>355</v>
      </c>
      <c r="C33" t="s">
        <v>376</v>
      </c>
      <c r="D33">
        <v>5.8309865588979347E-2</v>
      </c>
      <c r="E33">
        <v>0.2</v>
      </c>
      <c r="F33" cm="1">
        <f t="array" ref="F33">($E33/1000)*_xlfn.XLOOKUP($B33&amp;$C33,IPPU_GWP!$A:$A&amp;IPPU_GWP!$B:$B,IPPU_GWP!$C:$C)</f>
        <v>4.7</v>
      </c>
    </row>
    <row r="34" spans="1:7" x14ac:dyDescent="0.25">
      <c r="A34" t="s">
        <v>359</v>
      </c>
      <c r="B34" t="s">
        <v>360</v>
      </c>
      <c r="C34" t="s">
        <v>377</v>
      </c>
      <c r="D34">
        <v>3.766769977788148E-6</v>
      </c>
      <c r="E34" t="s">
        <v>378</v>
      </c>
      <c r="G34" t="s">
        <v>379</v>
      </c>
    </row>
    <row r="35" spans="1:7" x14ac:dyDescent="0.25">
      <c r="A35" t="s">
        <v>359</v>
      </c>
      <c r="B35" t="s">
        <v>96</v>
      </c>
      <c r="C35" t="s">
        <v>380</v>
      </c>
      <c r="D35">
        <v>8.6597013192324458E-6</v>
      </c>
      <c r="E35" t="s">
        <v>378</v>
      </c>
      <c r="F35" t="s">
        <v>86</v>
      </c>
      <c r="G35" t="s">
        <v>381</v>
      </c>
    </row>
    <row r="36" spans="1:7" x14ac:dyDescent="0.25">
      <c r="A36" t="s">
        <v>359</v>
      </c>
      <c r="B36" t="s">
        <v>361</v>
      </c>
      <c r="C36" t="s">
        <v>382</v>
      </c>
      <c r="D36">
        <v>1.6514655560998349E-7</v>
      </c>
      <c r="E36" t="s">
        <v>378</v>
      </c>
      <c r="G36" t="s">
        <v>383</v>
      </c>
    </row>
    <row r="37" spans="1:7" x14ac:dyDescent="0.25">
      <c r="A37" t="s">
        <v>359</v>
      </c>
      <c r="B37" t="s">
        <v>361</v>
      </c>
      <c r="C37" t="s">
        <v>384</v>
      </c>
      <c r="D37">
        <v>2.4221637104658191E-5</v>
      </c>
      <c r="E37" t="s">
        <v>378</v>
      </c>
    </row>
    <row r="38" spans="1:7" x14ac:dyDescent="0.25">
      <c r="A38" t="s">
        <v>359</v>
      </c>
      <c r="B38" t="s">
        <v>361</v>
      </c>
      <c r="C38" t="s">
        <v>385</v>
      </c>
      <c r="D38">
        <v>1.190386531761609E-4</v>
      </c>
      <c r="E38" t="s">
        <v>378</v>
      </c>
    </row>
    <row r="39" spans="1:7" x14ac:dyDescent="0.25">
      <c r="A39" t="s">
        <v>362</v>
      </c>
      <c r="B39" t="s">
        <v>360</v>
      </c>
      <c r="C39" t="s">
        <v>377</v>
      </c>
      <c r="D39">
        <v>1.6864E-3</v>
      </c>
      <c r="E39">
        <v>2.52E-2</v>
      </c>
      <c r="F39" cm="1">
        <f t="array" ref="F39">($E39/1000)*_xlfn.XLOOKUP($B39&amp;$C39,IPPU_GWP!$A:$A&amp;IPPU_GWP!$B:$B,IPPU_GWP!$C:$C)</f>
        <v>0.31247999999999998</v>
      </c>
    </row>
    <row r="40" spans="1:7" x14ac:dyDescent="0.25">
      <c r="A40" t="s">
        <v>362</v>
      </c>
      <c r="B40" t="s">
        <v>360</v>
      </c>
      <c r="C40" t="s">
        <v>386</v>
      </c>
      <c r="D40">
        <v>9.4779999999999997E-6</v>
      </c>
      <c r="E40">
        <v>1E-3</v>
      </c>
      <c r="F40" cm="1">
        <f t="array" ref="F40">($E40/1000)*_xlfn.XLOOKUP($B40&amp;$C40,IPPU_GWP!$A:$A&amp;IPPU_GWP!$B:$B,IPPU_GWP!$C:$C)</f>
        <v>6.7699999999999998E-4</v>
      </c>
    </row>
    <row r="41" spans="1:7" x14ac:dyDescent="0.25">
      <c r="A41" t="s">
        <v>362</v>
      </c>
      <c r="B41" t="s">
        <v>360</v>
      </c>
      <c r="C41" t="s">
        <v>387</v>
      </c>
      <c r="D41">
        <v>2.3199999999999998E-6</v>
      </c>
      <c r="E41">
        <v>2.3999999999999998E-3</v>
      </c>
      <c r="F41" cm="1">
        <f t="array" ref="F41">($E41/1000)*_xlfn.XLOOKUP($B41&amp;$C41,IPPU_GWP!$A:$A&amp;IPPU_GWP!$B:$B,IPPU_GWP!$C:$C)</f>
        <v>2.7839999999999999E-4</v>
      </c>
    </row>
    <row r="42" spans="1:7" x14ac:dyDescent="0.25">
      <c r="A42" t="s">
        <v>362</v>
      </c>
      <c r="B42" t="s">
        <v>96</v>
      </c>
      <c r="C42" t="s">
        <v>380</v>
      </c>
      <c r="D42">
        <v>9.3968999999999997E-3</v>
      </c>
      <c r="E42">
        <v>1.1132</v>
      </c>
      <c r="F42" cm="1">
        <f t="array" ref="F42">($E42/1000)*_xlfn.XLOOKUP($B42&amp;$C42,IPPU_GWP!$A:$A&amp;IPPU_GWP!$B:$B,IPPU_GWP!$C:$C)</f>
        <v>0.29499799999999998</v>
      </c>
    </row>
    <row r="43" spans="1:7" x14ac:dyDescent="0.25">
      <c r="A43" t="s">
        <v>362</v>
      </c>
      <c r="B43" t="s">
        <v>363</v>
      </c>
      <c r="C43" t="s">
        <v>388</v>
      </c>
      <c r="D43">
        <v>5.6993999999999994E-3</v>
      </c>
      <c r="E43">
        <v>3.9399999999999998E-2</v>
      </c>
      <c r="F43" cm="1">
        <f t="array" ref="F43">($E43/1000)*_xlfn.XLOOKUP($B43&amp;$C43,IPPU_GWP!$A:$A&amp;IPPU_GWP!$B:$B,IPPU_GWP!$C:$C)</f>
        <v>0.6343399999999999</v>
      </c>
    </row>
    <row r="44" spans="1:7" x14ac:dyDescent="0.25">
      <c r="A44" t="s">
        <v>362</v>
      </c>
      <c r="B44" t="s">
        <v>361</v>
      </c>
      <c r="C44" t="s">
        <v>389</v>
      </c>
      <c r="D44">
        <v>6.3000000000000015E-11</v>
      </c>
      <c r="E44">
        <v>8.9999999999999998E-4</v>
      </c>
      <c r="F44" cm="1">
        <f t="array" ref="F44">($E44/1000)*_xlfn.XLOOKUP($B44&amp;$C44,IPPU_GWP!$A:$A&amp;IPPU_GWP!$B:$B,IPPU_GWP!$C:$C)</f>
        <v>2.6999999999999998E-9</v>
      </c>
    </row>
    <row r="45" spans="1:7" x14ac:dyDescent="0.25">
      <c r="A45" t="s">
        <v>362</v>
      </c>
      <c r="B45" t="s">
        <v>361</v>
      </c>
      <c r="C45" t="s">
        <v>382</v>
      </c>
      <c r="D45">
        <v>2.0511000000000001E-3</v>
      </c>
      <c r="E45">
        <v>6.0999999999999995E-3</v>
      </c>
      <c r="F45" cm="1">
        <f t="array" ref="F45">($E45/1000)*_xlfn.XLOOKUP($B45&amp;$C45,IPPU_GWP!$A:$A&amp;IPPU_GWP!$B:$B,IPPU_GWP!$C:$C)</f>
        <v>5.8193999999999996E-2</v>
      </c>
    </row>
    <row r="46" spans="1:7" x14ac:dyDescent="0.25">
      <c r="A46" t="s">
        <v>362</v>
      </c>
      <c r="B46" t="s">
        <v>361</v>
      </c>
      <c r="C46" t="s">
        <v>384</v>
      </c>
      <c r="D46">
        <v>2.4753000000000002E-3</v>
      </c>
      <c r="E46">
        <v>8.1599999999999992E-2</v>
      </c>
      <c r="F46" cm="1">
        <f t="array" ref="F46">($E46/1000)*_xlfn.XLOOKUP($B46&amp;$C46,IPPU_GWP!$A:$A&amp;IPPU_GWP!$B:$B,IPPU_GWP!$C:$C)</f>
        <v>0.9057599999999999</v>
      </c>
    </row>
    <row r="47" spans="1:7" x14ac:dyDescent="0.25">
      <c r="A47" t="s">
        <v>362</v>
      </c>
      <c r="B47" t="s">
        <v>361</v>
      </c>
      <c r="C47" t="s">
        <v>385</v>
      </c>
      <c r="D47">
        <v>1.2597000000000001E-2</v>
      </c>
      <c r="E47">
        <v>0.24719999999999998</v>
      </c>
      <c r="F47" cm="1">
        <f t="array" ref="F47">($E47/1000)*_xlfn.XLOOKUP($B47&amp;$C47,IPPU_GWP!$A:$A&amp;IPPU_GWP!$B:$B,IPPU_GWP!$C:$C)</f>
        <v>1.6389359999999999</v>
      </c>
    </row>
    <row r="48" spans="1:7" x14ac:dyDescent="0.25">
      <c r="A48" t="s">
        <v>362</v>
      </c>
      <c r="B48" t="s">
        <v>355</v>
      </c>
      <c r="C48" t="s">
        <v>376</v>
      </c>
      <c r="D48">
        <v>2.4675000000000001E-3</v>
      </c>
      <c r="E48">
        <v>3.1399999999999997E-2</v>
      </c>
      <c r="F48" cm="1">
        <f t="array" ref="F48">($E48/1000)*_xlfn.XLOOKUP($B48&amp;$C48,IPPU_GWP!$A:$A&amp;IPPU_GWP!$B:$B,IPPU_GWP!$C:$C)</f>
        <v>0.73789999999999989</v>
      </c>
    </row>
    <row r="49" spans="1:6" x14ac:dyDescent="0.25">
      <c r="A49" t="s">
        <v>357</v>
      </c>
      <c r="B49" t="s">
        <v>96</v>
      </c>
      <c r="C49" t="s">
        <v>380</v>
      </c>
      <c r="D49">
        <v>2.3526655417611706E-2</v>
      </c>
      <c r="E49">
        <v>14</v>
      </c>
      <c r="F49" cm="1">
        <f t="array" ref="F49">($E49/1000)*_xlfn.XLOOKUP($B49&amp;$C49,IPPU_GWP!$A:$A&amp;IPPU_GWP!$B:$B,IPPU_GWP!$C:$C)</f>
        <v>3.71</v>
      </c>
    </row>
    <row r="50" spans="1:6" x14ac:dyDescent="0.25">
      <c r="A50" t="s">
        <v>358</v>
      </c>
      <c r="B50" t="s">
        <v>92</v>
      </c>
      <c r="C50" t="s">
        <v>375</v>
      </c>
      <c r="D50">
        <v>0.57295847486647877</v>
      </c>
      <c r="E50">
        <v>10384</v>
      </c>
      <c r="F50" cm="1">
        <f t="array" ref="F50">($E50/1000)*_xlfn.XLOOKUP($B50&amp;$C50,IPPU_GWP!$A:$A&amp;IPPU_GWP!$B:$B,IPPU_GWP!$C:$C)</f>
        <v>10.384</v>
      </c>
    </row>
    <row r="51" spans="1:6" x14ac:dyDescent="0.25">
      <c r="A51" t="s">
        <v>364</v>
      </c>
      <c r="B51" t="s">
        <v>361</v>
      </c>
      <c r="C51" t="s">
        <v>390</v>
      </c>
      <c r="D51">
        <v>2.6252890728288001E-3</v>
      </c>
      <c r="E51" t="s">
        <v>391</v>
      </c>
      <c r="F51" s="422">
        <v>0.2</v>
      </c>
    </row>
    <row r="52" spans="1:6" x14ac:dyDescent="0.25">
      <c r="A52" t="s">
        <v>364</v>
      </c>
      <c r="B52" t="s">
        <v>361</v>
      </c>
      <c r="C52" t="s">
        <v>392</v>
      </c>
      <c r="D52">
        <v>8.1269584224719993E-4</v>
      </c>
      <c r="E52" t="s">
        <v>391</v>
      </c>
      <c r="F52" s="422"/>
    </row>
    <row r="53" spans="1:6" x14ac:dyDescent="0.25">
      <c r="A53" t="s">
        <v>364</v>
      </c>
      <c r="B53" t="s">
        <v>361</v>
      </c>
      <c r="C53" t="s">
        <v>382</v>
      </c>
      <c r="D53">
        <v>1.0605459953151999E-4</v>
      </c>
      <c r="E53" t="s">
        <v>391</v>
      </c>
      <c r="F53" s="422"/>
    </row>
    <row r="54" spans="1:6" x14ac:dyDescent="0.25">
      <c r="A54" t="s">
        <v>364</v>
      </c>
      <c r="B54" t="s">
        <v>361</v>
      </c>
      <c r="C54" t="s">
        <v>384</v>
      </c>
      <c r="D54">
        <v>4.8574106332091935E-5</v>
      </c>
      <c r="E54" t="s">
        <v>391</v>
      </c>
      <c r="F54" s="422"/>
    </row>
    <row r="55" spans="1:6" x14ac:dyDescent="0.25">
      <c r="A55" t="s">
        <v>364</v>
      </c>
      <c r="B55" t="s">
        <v>361</v>
      </c>
      <c r="C55" t="s">
        <v>385</v>
      </c>
      <c r="D55">
        <v>4.3610023209902937E-5</v>
      </c>
      <c r="E55" t="s">
        <v>391</v>
      </c>
      <c r="F55" s="422"/>
    </row>
    <row r="56" spans="1:6" x14ac:dyDescent="0.25">
      <c r="A56" t="s">
        <v>364</v>
      </c>
      <c r="B56" t="s">
        <v>361</v>
      </c>
      <c r="C56" t="s">
        <v>393</v>
      </c>
      <c r="D56">
        <v>7.119059913173335E-6</v>
      </c>
      <c r="E56" t="s">
        <v>391</v>
      </c>
      <c r="F56" s="422"/>
    </row>
    <row r="57" spans="1:6" x14ac:dyDescent="0.25">
      <c r="A57" t="s">
        <v>364</v>
      </c>
      <c r="B57" t="s">
        <v>361</v>
      </c>
      <c r="C57" t="s">
        <v>394</v>
      </c>
      <c r="D57">
        <v>9.914230902755558E-6</v>
      </c>
      <c r="E57" t="s">
        <v>391</v>
      </c>
      <c r="F57" s="422"/>
    </row>
    <row r="58" spans="1:6" x14ac:dyDescent="0.25">
      <c r="A58" t="s">
        <v>364</v>
      </c>
      <c r="B58" t="s">
        <v>361</v>
      </c>
      <c r="C58" t="s">
        <v>395</v>
      </c>
      <c r="D58">
        <v>1.756209340944E-6</v>
      </c>
      <c r="E58" t="s">
        <v>391</v>
      </c>
      <c r="F58" s="422"/>
    </row>
    <row r="59" spans="1:6" x14ac:dyDescent="0.25">
      <c r="A59" t="s">
        <v>364</v>
      </c>
      <c r="B59" t="s">
        <v>361</v>
      </c>
      <c r="C59" t="s">
        <v>396</v>
      </c>
      <c r="D59">
        <v>1.7017677332583829E-5</v>
      </c>
      <c r="E59" t="s">
        <v>391</v>
      </c>
      <c r="F59" s="422"/>
    </row>
    <row r="60" spans="1:6" x14ac:dyDescent="0.25">
      <c r="A60" t="s">
        <v>364</v>
      </c>
      <c r="B60" t="s">
        <v>361</v>
      </c>
      <c r="C60" t="s">
        <v>397</v>
      </c>
      <c r="D60">
        <v>7.5448011224576004E-7</v>
      </c>
      <c r="E60" t="s">
        <v>391</v>
      </c>
      <c r="F60" s="422"/>
    </row>
    <row r="61" spans="1:6" x14ac:dyDescent="0.25">
      <c r="A61" t="s">
        <v>364</v>
      </c>
      <c r="B61" t="s">
        <v>361</v>
      </c>
      <c r="C61" t="s">
        <v>398</v>
      </c>
      <c r="D61">
        <v>3.8404122666666668E-9</v>
      </c>
      <c r="E61" t="s">
        <v>391</v>
      </c>
      <c r="F61" s="422"/>
    </row>
    <row r="62" spans="1:6" x14ac:dyDescent="0.25">
      <c r="A62" t="s">
        <v>364</v>
      </c>
      <c r="B62" t="s">
        <v>361</v>
      </c>
      <c r="C62" t="s">
        <v>399</v>
      </c>
      <c r="D62">
        <v>7.3611328917333329E-8</v>
      </c>
      <c r="E62" t="s">
        <v>391</v>
      </c>
      <c r="F62" s="422"/>
    </row>
    <row r="63" spans="1:6" x14ac:dyDescent="0.25">
      <c r="A63" t="s">
        <v>364</v>
      </c>
      <c r="B63" t="s">
        <v>355</v>
      </c>
      <c r="C63" t="s">
        <v>376</v>
      </c>
      <c r="D63">
        <v>2.4307708273425863E-2</v>
      </c>
      <c r="E63" t="s">
        <v>400</v>
      </c>
      <c r="F63">
        <v>0.6</v>
      </c>
    </row>
    <row r="64" spans="1:6" x14ac:dyDescent="0.25">
      <c r="A64" t="s">
        <v>365</v>
      </c>
      <c r="B64" t="s">
        <v>92</v>
      </c>
      <c r="C64" t="s">
        <v>375</v>
      </c>
      <c r="D64">
        <v>2.490152588784062E-5</v>
      </c>
      <c r="E64">
        <v>3.9689999999999999</v>
      </c>
      <c r="F64" cm="1">
        <f t="array" ref="F64">($E64/1000)*_xlfn.XLOOKUP($B64&amp;$C64,IPPU_GWP!$A:$A&amp;IPPU_GWP!$B:$B,IPPU_GWP!$C:$C)</f>
        <v>3.9689999999999994E-3</v>
      </c>
    </row>
    <row r="65" spans="1:6" x14ac:dyDescent="0.25">
      <c r="A65" t="s">
        <v>365</v>
      </c>
      <c r="B65" t="s">
        <v>360</v>
      </c>
      <c r="C65" t="s">
        <v>401</v>
      </c>
      <c r="D65">
        <v>0.22110250249078686</v>
      </c>
      <c r="E65">
        <v>22.704000000000001</v>
      </c>
      <c r="F65" cm="1">
        <f t="array" ref="F65">($E65/1000)*_xlfn.XLOOKUP($B65&amp;$C65,IPPU_GWP!$A:$A&amp;IPPU_GWP!$B:$B,IPPU_GWP!$C:$C)</f>
        <v>71.971680000000006</v>
      </c>
    </row>
    <row r="66" spans="1:6" x14ac:dyDescent="0.25">
      <c r="A66" t="s">
        <v>365</v>
      </c>
      <c r="B66" t="s">
        <v>360</v>
      </c>
      <c r="C66" t="s">
        <v>402</v>
      </c>
      <c r="D66">
        <v>0.16228821016215911</v>
      </c>
      <c r="E66">
        <v>37.167000000000002</v>
      </c>
      <c r="F66" cm="1">
        <f t="array" ref="F66">($E66/1000)*_xlfn.XLOOKUP($B66&amp;$C66,IPPU_GWP!$A:$A&amp;IPPU_GWP!$B:$B,IPPU_GWP!$C:$C)</f>
        <v>48.317099999999996</v>
      </c>
    </row>
    <row r="67" spans="1:6" x14ac:dyDescent="0.25">
      <c r="A67" t="s">
        <v>365</v>
      </c>
      <c r="B67" t="s">
        <v>360</v>
      </c>
      <c r="C67" t="s">
        <v>403</v>
      </c>
      <c r="D67">
        <v>0.1232598704551684</v>
      </c>
      <c r="E67">
        <v>6.2030000000000003</v>
      </c>
      <c r="F67" cm="1">
        <f t="array" ref="F67">($E67/1000)*_xlfn.XLOOKUP($B67&amp;$C67,IPPU_GWP!$A:$A&amp;IPPU_GWP!$B:$B,IPPU_GWP!$C:$C)</f>
        <v>29.7744</v>
      </c>
    </row>
    <row r="68" spans="1:6" x14ac:dyDescent="0.25">
      <c r="A68" t="s">
        <v>365</v>
      </c>
      <c r="B68" t="s">
        <v>360</v>
      </c>
      <c r="C68" t="s">
        <v>377</v>
      </c>
      <c r="D68">
        <v>1.952492569485186E-4</v>
      </c>
      <c r="E68">
        <v>3.0000000000000001E-3</v>
      </c>
      <c r="F68" cm="1">
        <f t="array" ref="F68">($E68/1000)*_xlfn.XLOOKUP($B68&amp;$C68,IPPU_GWP!$A:$A&amp;IPPU_GWP!$B:$B,IPPU_GWP!$C:$C)</f>
        <v>3.7200000000000004E-2</v>
      </c>
    </row>
    <row r="69" spans="1:6" x14ac:dyDescent="0.25">
      <c r="A69" t="s">
        <v>365</v>
      </c>
      <c r="B69" t="s">
        <v>360</v>
      </c>
      <c r="C69" t="s">
        <v>404</v>
      </c>
      <c r="D69">
        <v>3.661234721979064E-3</v>
      </c>
      <c r="E69">
        <v>7.1999999999999995E-2</v>
      </c>
      <c r="F69" cm="1">
        <f t="array" ref="F69">($E69/1000)*_xlfn.XLOOKUP($B69&amp;$C69,IPPU_GWP!$A:$A&amp;IPPU_GWP!$B:$B,IPPU_GWP!$C:$C)</f>
        <v>0.58031999999999995</v>
      </c>
    </row>
    <row r="70" spans="1:6" x14ac:dyDescent="0.25">
      <c r="A70" t="s">
        <v>365</v>
      </c>
      <c r="B70" t="s">
        <v>360</v>
      </c>
      <c r="C70" t="s">
        <v>386</v>
      </c>
      <c r="D70">
        <v>2.0448485756621049E-2</v>
      </c>
      <c r="E70">
        <v>15.582000000000001</v>
      </c>
      <c r="F70" cm="1">
        <f t="array" ref="F70">($E70/1000)*_xlfn.XLOOKUP($B70&amp;$C70,IPPU_GWP!$A:$A&amp;IPPU_GWP!$B:$B,IPPU_GWP!$C:$C)</f>
        <v>10.549014</v>
      </c>
    </row>
    <row r="71" spans="1:6" x14ac:dyDescent="0.25">
      <c r="A71" t="s">
        <v>365</v>
      </c>
      <c r="B71" t="s">
        <v>360</v>
      </c>
      <c r="C71" t="s">
        <v>405</v>
      </c>
      <c r="D71">
        <v>0.10574310838029502</v>
      </c>
      <c r="E71" t="s">
        <v>406</v>
      </c>
    </row>
    <row r="72" spans="1:6" x14ac:dyDescent="0.25">
      <c r="A72" t="s">
        <v>365</v>
      </c>
      <c r="B72" t="s">
        <v>361</v>
      </c>
      <c r="C72" t="s">
        <v>407</v>
      </c>
      <c r="D72">
        <v>1.390909434861379E-4</v>
      </c>
      <c r="E72" t="s">
        <v>406</v>
      </c>
    </row>
    <row r="73" spans="1:6" x14ac:dyDescent="0.25">
      <c r="A73" t="s">
        <v>365</v>
      </c>
      <c r="B73" t="s">
        <v>361</v>
      </c>
      <c r="C73" t="s">
        <v>385</v>
      </c>
      <c r="D73">
        <v>1.5613554366973459E-4</v>
      </c>
      <c r="E73">
        <v>4.0000000000000001E-3</v>
      </c>
      <c r="F73" cm="1">
        <f t="array" ref="F73">($E73/1000)*_xlfn.XLOOKUP($B73&amp;$C73,IPPU_GWP!$A:$A&amp;IPPU_GWP!$B:$B,IPPU_GWP!$C:$C)</f>
        <v>2.6519999999999998E-2</v>
      </c>
    </row>
    <row r="74" spans="1:6" x14ac:dyDescent="0.25">
      <c r="A74" t="s">
        <v>368</v>
      </c>
      <c r="B74" t="s">
        <v>92</v>
      </c>
      <c r="C74" t="s">
        <v>375</v>
      </c>
      <c r="D74">
        <v>4.4242613692019282E-2</v>
      </c>
      <c r="E74">
        <v>7053</v>
      </c>
      <c r="F74" cm="1">
        <f t="array" ref="F74">($E74/1000)*_xlfn.XLOOKUP($B74&amp;$C74,IPPU_GWP!$A:$A&amp;IPPU_GWP!$B:$B,IPPU_GWP!$C:$C)</f>
        <v>7.0529999999999999</v>
      </c>
    </row>
    <row r="75" spans="1:6" x14ac:dyDescent="0.25">
      <c r="A75" s="1" t="s">
        <v>408</v>
      </c>
      <c r="B75" s="1"/>
      <c r="C75" s="1"/>
      <c r="D75" s="1">
        <v>1.6362208539998215</v>
      </c>
    </row>
    <row r="77" spans="1:6" x14ac:dyDescent="0.25">
      <c r="D77" s="111"/>
    </row>
  </sheetData>
  <mergeCells count="1">
    <mergeCell ref="F51:F6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3EF40-110B-47FC-B0C6-73AB1D7F7934}">
  <sheetPr>
    <tabColor rgb="FFE18FD7"/>
  </sheetPr>
  <dimension ref="A1:C65"/>
  <sheetViews>
    <sheetView workbookViewId="0">
      <pane ySplit="3" topLeftCell="A4" activePane="bottomLeft" state="frozen"/>
      <selection activeCell="C2" sqref="C2"/>
      <selection pane="bottomLeft" activeCell="C4" sqref="C4"/>
    </sheetView>
  </sheetViews>
  <sheetFormatPr defaultRowHeight="15" x14ac:dyDescent="0.25"/>
  <cols>
    <col min="1" max="1" width="12.28515625" bestFit="1" customWidth="1"/>
    <col min="2" max="2" width="52.28515625" bestFit="1" customWidth="1"/>
    <col min="3" max="3" width="9.28515625" customWidth="1"/>
  </cols>
  <sheetData>
    <row r="1" spans="1:3" ht="18.75" x14ac:dyDescent="0.3">
      <c r="A1" s="102" t="s">
        <v>340</v>
      </c>
    </row>
    <row r="3" spans="1:3" x14ac:dyDescent="0.25">
      <c r="A3" s="1" t="s">
        <v>342</v>
      </c>
      <c r="B3" s="1" t="s">
        <v>372</v>
      </c>
      <c r="C3" s="1" t="s">
        <v>409</v>
      </c>
    </row>
    <row r="4" spans="1:3" x14ac:dyDescent="0.25">
      <c r="A4" t="s">
        <v>94</v>
      </c>
      <c r="B4" t="s">
        <v>410</v>
      </c>
      <c r="C4">
        <v>28</v>
      </c>
    </row>
    <row r="5" spans="1:3" x14ac:dyDescent="0.25">
      <c r="A5" t="s">
        <v>92</v>
      </c>
      <c r="B5" t="s">
        <v>375</v>
      </c>
      <c r="C5">
        <v>1</v>
      </c>
    </row>
    <row r="6" spans="1:3" x14ac:dyDescent="0.25">
      <c r="A6" t="s">
        <v>360</v>
      </c>
      <c r="B6" t="s">
        <v>411</v>
      </c>
      <c r="C6">
        <v>3700</v>
      </c>
    </row>
    <row r="7" spans="1:3" x14ac:dyDescent="0.25">
      <c r="A7" t="s">
        <v>360</v>
      </c>
      <c r="B7" t="s">
        <v>412</v>
      </c>
      <c r="C7">
        <v>3700</v>
      </c>
    </row>
    <row r="8" spans="1:3" x14ac:dyDescent="0.25">
      <c r="A8" t="s">
        <v>360</v>
      </c>
      <c r="B8" t="s">
        <v>413</v>
      </c>
      <c r="C8">
        <v>3700</v>
      </c>
    </row>
    <row r="9" spans="1:3" x14ac:dyDescent="0.25">
      <c r="A9" t="s">
        <v>360</v>
      </c>
      <c r="B9" t="s">
        <v>414</v>
      </c>
      <c r="C9">
        <v>3700</v>
      </c>
    </row>
    <row r="10" spans="1:3" x14ac:dyDescent="0.25">
      <c r="A10" t="s">
        <v>360</v>
      </c>
      <c r="B10" t="s">
        <v>415</v>
      </c>
      <c r="C10">
        <v>3700</v>
      </c>
    </row>
    <row r="11" spans="1:3" x14ac:dyDescent="0.25">
      <c r="A11" t="s">
        <v>360</v>
      </c>
      <c r="B11" t="s">
        <v>416</v>
      </c>
      <c r="C11">
        <v>3700</v>
      </c>
    </row>
    <row r="12" spans="1:3" x14ac:dyDescent="0.25">
      <c r="A12" t="s">
        <v>360</v>
      </c>
      <c r="B12" t="s">
        <v>417</v>
      </c>
      <c r="C12">
        <v>930</v>
      </c>
    </row>
    <row r="13" spans="1:3" x14ac:dyDescent="0.25">
      <c r="A13" t="s">
        <v>360</v>
      </c>
      <c r="B13" t="s">
        <v>418</v>
      </c>
      <c r="C13">
        <v>0.04</v>
      </c>
    </row>
    <row r="14" spans="1:3" x14ac:dyDescent="0.25">
      <c r="A14" t="s">
        <v>360</v>
      </c>
      <c r="B14" t="s">
        <v>419</v>
      </c>
      <c r="C14">
        <v>0.02</v>
      </c>
    </row>
    <row r="15" spans="1:3" x14ac:dyDescent="0.25">
      <c r="A15" t="s">
        <v>360</v>
      </c>
      <c r="B15" t="s">
        <v>420</v>
      </c>
      <c r="C15">
        <v>0.97</v>
      </c>
    </row>
    <row r="16" spans="1:3" x14ac:dyDescent="0.25">
      <c r="A16" t="s">
        <v>360</v>
      </c>
      <c r="B16" t="s">
        <v>401</v>
      </c>
      <c r="C16">
        <v>3170</v>
      </c>
    </row>
    <row r="17" spans="1:3" x14ac:dyDescent="0.25">
      <c r="A17" t="s">
        <v>360</v>
      </c>
      <c r="B17" t="s">
        <v>421</v>
      </c>
      <c r="C17">
        <v>1120</v>
      </c>
    </row>
    <row r="18" spans="1:3" x14ac:dyDescent="0.25">
      <c r="A18" t="s">
        <v>360</v>
      </c>
      <c r="B18" t="s">
        <v>402</v>
      </c>
      <c r="C18">
        <v>1300</v>
      </c>
    </row>
    <row r="19" spans="1:3" x14ac:dyDescent="0.25">
      <c r="A19" t="s">
        <v>360</v>
      </c>
      <c r="B19" t="s">
        <v>403</v>
      </c>
      <c r="C19">
        <v>4800</v>
      </c>
    </row>
    <row r="20" spans="1:3" x14ac:dyDescent="0.25">
      <c r="A20" t="s">
        <v>360</v>
      </c>
      <c r="B20" t="s">
        <v>422</v>
      </c>
      <c r="C20">
        <v>138</v>
      </c>
    </row>
    <row r="21" spans="1:3" x14ac:dyDescent="0.25">
      <c r="A21" t="s">
        <v>360</v>
      </c>
      <c r="B21" t="s">
        <v>423</v>
      </c>
      <c r="C21">
        <v>4</v>
      </c>
    </row>
    <row r="22" spans="1:3" x14ac:dyDescent="0.25">
      <c r="A22" t="s">
        <v>360</v>
      </c>
      <c r="B22" t="s">
        <v>424</v>
      </c>
      <c r="C22">
        <v>2640</v>
      </c>
    </row>
    <row r="23" spans="1:3" x14ac:dyDescent="0.25">
      <c r="A23" t="s">
        <v>360</v>
      </c>
      <c r="B23" t="s">
        <v>425</v>
      </c>
      <c r="C23">
        <v>3350</v>
      </c>
    </row>
    <row r="24" spans="1:3" x14ac:dyDescent="0.25">
      <c r="A24" t="s">
        <v>360</v>
      </c>
      <c r="B24" t="s">
        <v>377</v>
      </c>
      <c r="C24">
        <v>12400</v>
      </c>
    </row>
    <row r="25" spans="1:3" x14ac:dyDescent="0.25">
      <c r="A25" t="s">
        <v>360</v>
      </c>
      <c r="B25" t="s">
        <v>426</v>
      </c>
      <c r="C25">
        <v>1330</v>
      </c>
    </row>
    <row r="26" spans="1:3" x14ac:dyDescent="0.25">
      <c r="A26" t="s">
        <v>360</v>
      </c>
      <c r="B26" t="s">
        <v>404</v>
      </c>
      <c r="C26">
        <v>8060</v>
      </c>
    </row>
    <row r="27" spans="1:3" x14ac:dyDescent="0.25">
      <c r="A27" t="s">
        <v>360</v>
      </c>
      <c r="B27" t="s">
        <v>427</v>
      </c>
      <c r="C27">
        <v>4620</v>
      </c>
    </row>
    <row r="28" spans="1:3" x14ac:dyDescent="0.25">
      <c r="A28" t="s">
        <v>360</v>
      </c>
      <c r="B28" t="s">
        <v>428</v>
      </c>
      <c r="C28">
        <v>858</v>
      </c>
    </row>
    <row r="29" spans="1:3" x14ac:dyDescent="0.25">
      <c r="A29" t="s">
        <v>360</v>
      </c>
      <c r="B29" t="s">
        <v>386</v>
      </c>
      <c r="C29">
        <v>677</v>
      </c>
    </row>
    <row r="30" spans="1:3" x14ac:dyDescent="0.25">
      <c r="A30" t="s">
        <v>360</v>
      </c>
      <c r="B30" t="s">
        <v>429</v>
      </c>
      <c r="C30">
        <v>804</v>
      </c>
    </row>
    <row r="31" spans="1:3" x14ac:dyDescent="0.25">
      <c r="A31" t="s">
        <v>360</v>
      </c>
      <c r="B31" t="s">
        <v>387</v>
      </c>
      <c r="C31">
        <v>116</v>
      </c>
    </row>
    <row r="32" spans="1:3" x14ac:dyDescent="0.25">
      <c r="A32" t="s">
        <v>360</v>
      </c>
      <c r="B32" t="s">
        <v>430</v>
      </c>
      <c r="C32">
        <v>1650</v>
      </c>
    </row>
    <row r="33" spans="1:3" x14ac:dyDescent="0.25">
      <c r="A33" t="s">
        <v>360</v>
      </c>
      <c r="B33" t="s">
        <v>405</v>
      </c>
      <c r="C33">
        <v>1</v>
      </c>
    </row>
    <row r="34" spans="1:3" x14ac:dyDescent="0.25">
      <c r="A34" t="s">
        <v>360</v>
      </c>
      <c r="B34" t="s">
        <v>431</v>
      </c>
      <c r="C34">
        <v>5.0000000000000001E-3</v>
      </c>
    </row>
    <row r="35" spans="1:3" x14ac:dyDescent="0.25">
      <c r="A35" t="s">
        <v>360</v>
      </c>
      <c r="B35" t="s">
        <v>432</v>
      </c>
      <c r="C35">
        <v>1</v>
      </c>
    </row>
    <row r="36" spans="1:3" x14ac:dyDescent="0.25">
      <c r="A36" t="s">
        <v>96</v>
      </c>
      <c r="B36" t="s">
        <v>380</v>
      </c>
      <c r="C36">
        <v>265</v>
      </c>
    </row>
    <row r="37" spans="1:3" x14ac:dyDescent="0.25">
      <c r="A37" t="s">
        <v>363</v>
      </c>
      <c r="B37" t="s">
        <v>388</v>
      </c>
      <c r="C37">
        <v>16100</v>
      </c>
    </row>
    <row r="38" spans="1:3" x14ac:dyDescent="0.25">
      <c r="A38" t="s">
        <v>361</v>
      </c>
      <c r="B38" t="s">
        <v>433</v>
      </c>
      <c r="C38">
        <v>7500</v>
      </c>
    </row>
    <row r="39" spans="1:3" x14ac:dyDescent="0.25">
      <c r="A39" t="s">
        <v>361</v>
      </c>
      <c r="B39" t="s">
        <v>434</v>
      </c>
      <c r="C39">
        <v>7500</v>
      </c>
    </row>
    <row r="40" spans="1:3" x14ac:dyDescent="0.25">
      <c r="A40" t="s">
        <v>361</v>
      </c>
      <c r="B40" t="s">
        <v>435</v>
      </c>
      <c r="C40">
        <v>10000</v>
      </c>
    </row>
    <row r="41" spans="1:3" x14ac:dyDescent="0.25">
      <c r="A41" t="s">
        <v>361</v>
      </c>
      <c r="B41" t="s">
        <v>436</v>
      </c>
      <c r="C41">
        <v>1</v>
      </c>
    </row>
    <row r="42" spans="1:3" x14ac:dyDescent="0.25">
      <c r="A42" t="s">
        <v>361</v>
      </c>
      <c r="B42" t="s">
        <v>437</v>
      </c>
      <c r="C42">
        <v>1</v>
      </c>
    </row>
    <row r="43" spans="1:3" x14ac:dyDescent="0.25">
      <c r="A43" t="s">
        <v>361</v>
      </c>
      <c r="B43" t="s">
        <v>438</v>
      </c>
      <c r="C43">
        <v>1</v>
      </c>
    </row>
    <row r="44" spans="1:3" x14ac:dyDescent="0.25">
      <c r="A44" t="s">
        <v>361</v>
      </c>
      <c r="B44" t="s">
        <v>407</v>
      </c>
      <c r="C44">
        <v>1</v>
      </c>
    </row>
    <row r="45" spans="1:3" x14ac:dyDescent="0.25">
      <c r="A45" t="s">
        <v>361</v>
      </c>
      <c r="B45" t="s">
        <v>390</v>
      </c>
      <c r="C45">
        <v>7500</v>
      </c>
    </row>
    <row r="46" spans="1:3" x14ac:dyDescent="0.25">
      <c r="A46" t="s">
        <v>361</v>
      </c>
      <c r="B46" t="s">
        <v>392</v>
      </c>
      <c r="C46">
        <v>7500</v>
      </c>
    </row>
    <row r="47" spans="1:3" x14ac:dyDescent="0.25">
      <c r="A47" t="s">
        <v>361</v>
      </c>
      <c r="B47" t="s">
        <v>439</v>
      </c>
      <c r="C47">
        <v>10000</v>
      </c>
    </row>
    <row r="48" spans="1:3" x14ac:dyDescent="0.25">
      <c r="A48" t="s">
        <v>361</v>
      </c>
      <c r="B48" t="s">
        <v>389</v>
      </c>
      <c r="C48">
        <v>3.0000000000000001E-3</v>
      </c>
    </row>
    <row r="49" spans="1:3" x14ac:dyDescent="0.25">
      <c r="A49" t="s">
        <v>361</v>
      </c>
      <c r="B49" t="s">
        <v>382</v>
      </c>
      <c r="C49">
        <v>9540</v>
      </c>
    </row>
    <row r="50" spans="1:3" x14ac:dyDescent="0.25">
      <c r="A50" t="s">
        <v>361</v>
      </c>
      <c r="B50" t="s">
        <v>440</v>
      </c>
      <c r="C50">
        <v>10000</v>
      </c>
    </row>
    <row r="51" spans="1:3" x14ac:dyDescent="0.25">
      <c r="A51" t="s">
        <v>361</v>
      </c>
      <c r="B51" t="s">
        <v>441</v>
      </c>
      <c r="C51">
        <v>2</v>
      </c>
    </row>
    <row r="52" spans="1:3" x14ac:dyDescent="0.25">
      <c r="A52" t="s">
        <v>361</v>
      </c>
      <c r="B52" t="s">
        <v>442</v>
      </c>
      <c r="C52">
        <v>4.0000000000000001E-3</v>
      </c>
    </row>
    <row r="53" spans="1:3" x14ac:dyDescent="0.25">
      <c r="A53" t="s">
        <v>361</v>
      </c>
      <c r="B53" t="s">
        <v>384</v>
      </c>
      <c r="C53">
        <v>11100</v>
      </c>
    </row>
    <row r="54" spans="1:3" x14ac:dyDescent="0.25">
      <c r="A54" t="s">
        <v>361</v>
      </c>
      <c r="B54" t="s">
        <v>443</v>
      </c>
      <c r="C54">
        <v>0.05</v>
      </c>
    </row>
    <row r="55" spans="1:3" x14ac:dyDescent="0.25">
      <c r="A55" t="s">
        <v>361</v>
      </c>
      <c r="B55" t="s">
        <v>385</v>
      </c>
      <c r="C55">
        <v>6630</v>
      </c>
    </row>
    <row r="56" spans="1:3" x14ac:dyDescent="0.25">
      <c r="A56" t="s">
        <v>361</v>
      </c>
      <c r="B56" t="s">
        <v>393</v>
      </c>
      <c r="C56">
        <v>8900</v>
      </c>
    </row>
    <row r="57" spans="1:3" x14ac:dyDescent="0.25">
      <c r="A57" t="s">
        <v>361</v>
      </c>
      <c r="B57" t="s">
        <v>394</v>
      </c>
      <c r="C57">
        <v>9200</v>
      </c>
    </row>
    <row r="58" spans="1:3" x14ac:dyDescent="0.25">
      <c r="A58" t="s">
        <v>361</v>
      </c>
      <c r="B58" t="s">
        <v>395</v>
      </c>
      <c r="C58">
        <v>8550</v>
      </c>
    </row>
    <row r="59" spans="1:3" x14ac:dyDescent="0.25">
      <c r="A59" t="s">
        <v>361</v>
      </c>
      <c r="B59" t="s">
        <v>396</v>
      </c>
      <c r="C59">
        <v>7910</v>
      </c>
    </row>
    <row r="60" spans="1:3" x14ac:dyDescent="0.25">
      <c r="A60" t="s">
        <v>361</v>
      </c>
      <c r="B60" t="s">
        <v>397</v>
      </c>
      <c r="C60">
        <v>7820</v>
      </c>
    </row>
    <row r="61" spans="1:3" x14ac:dyDescent="0.25">
      <c r="A61" t="s">
        <v>361</v>
      </c>
      <c r="B61" t="s">
        <v>398</v>
      </c>
      <c r="C61">
        <v>7620</v>
      </c>
    </row>
    <row r="62" spans="1:3" x14ac:dyDescent="0.25">
      <c r="A62" t="s">
        <v>361</v>
      </c>
      <c r="B62" t="s">
        <v>399</v>
      </c>
      <c r="C62">
        <v>760</v>
      </c>
    </row>
    <row r="63" spans="1:3" x14ac:dyDescent="0.25">
      <c r="A63" t="s">
        <v>361</v>
      </c>
      <c r="B63" t="s">
        <v>444</v>
      </c>
      <c r="C63">
        <v>1</v>
      </c>
    </row>
    <row r="64" spans="1:3" x14ac:dyDescent="0.25">
      <c r="A64" t="s">
        <v>361</v>
      </c>
      <c r="B64" t="s">
        <v>445</v>
      </c>
      <c r="C64">
        <v>1</v>
      </c>
    </row>
    <row r="65" spans="1:3" x14ac:dyDescent="0.25">
      <c r="A65" t="s">
        <v>355</v>
      </c>
      <c r="B65" t="s">
        <v>376</v>
      </c>
      <c r="C65">
        <v>23500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12DF-0CC4-4C37-9DA5-BB8307D684D2}">
  <sheetPr>
    <tabColor rgb="FFF1CBEC"/>
  </sheetPr>
  <dimension ref="A1:K52"/>
  <sheetViews>
    <sheetView topLeftCell="A18" workbookViewId="0">
      <selection activeCell="D31" sqref="D31"/>
    </sheetView>
  </sheetViews>
  <sheetFormatPr defaultRowHeight="15" x14ac:dyDescent="0.25"/>
  <cols>
    <col min="1" max="1" width="27.28515625" customWidth="1"/>
    <col min="2" max="2" width="9.140625" bestFit="1" customWidth="1"/>
    <col min="3" max="3" width="19.42578125" customWidth="1"/>
    <col min="4" max="4" width="19.140625" bestFit="1" customWidth="1"/>
    <col min="10" max="10" width="20.28515625" customWidth="1"/>
  </cols>
  <sheetData>
    <row r="1" spans="1:11" ht="18.75" x14ac:dyDescent="0.3">
      <c r="A1" s="102" t="s">
        <v>446</v>
      </c>
    </row>
    <row r="3" spans="1:11" ht="15.75" thickBot="1" x14ac:dyDescent="0.3">
      <c r="A3" s="1" t="s">
        <v>447</v>
      </c>
      <c r="J3" t="s">
        <v>1458</v>
      </c>
    </row>
    <row r="4" spans="1:11" x14ac:dyDescent="0.25">
      <c r="A4" s="132"/>
      <c r="B4" s="133" t="s">
        <v>60</v>
      </c>
      <c r="C4" s="133" t="s">
        <v>67</v>
      </c>
      <c r="D4" s="134" t="s">
        <v>448</v>
      </c>
      <c r="J4" s="1" t="s">
        <v>341</v>
      </c>
      <c r="K4" s="1" t="s">
        <v>1474</v>
      </c>
    </row>
    <row r="5" spans="1:11" x14ac:dyDescent="0.25">
      <c r="A5" s="135" t="s">
        <v>449</v>
      </c>
      <c r="B5" s="45">
        <f>B33</f>
        <v>2049.3982685233336</v>
      </c>
      <c r="C5" s="45">
        <f>C33</f>
        <v>5866.0755359360001</v>
      </c>
      <c r="D5" s="136">
        <f>D33</f>
        <v>6.3249227054589338E-2</v>
      </c>
      <c r="J5" t="s">
        <v>462</v>
      </c>
      <c r="K5" s="7">
        <f>D31</f>
        <v>5.3030309660856548E-2</v>
      </c>
    </row>
    <row r="6" spans="1:11" x14ac:dyDescent="0.25">
      <c r="A6" s="135" t="s">
        <v>450</v>
      </c>
      <c r="B6" s="112">
        <f>B51</f>
        <v>618.21553121284467</v>
      </c>
      <c r="C6" s="2"/>
      <c r="D6" s="136">
        <f>B52</f>
        <v>1.7310034873959653E-2</v>
      </c>
      <c r="H6" s="111"/>
      <c r="I6" s="111"/>
      <c r="J6" t="s">
        <v>480</v>
      </c>
      <c r="K6" s="7">
        <f>D32</f>
        <v>1.0218917393732785E-2</v>
      </c>
    </row>
    <row r="7" spans="1:11" ht="15.75" thickBot="1" x14ac:dyDescent="0.3">
      <c r="A7" s="137" t="s">
        <v>451</v>
      </c>
      <c r="B7" s="138">
        <f>SUM(B5:B6)</f>
        <v>2667.6137997361784</v>
      </c>
      <c r="C7" s="138">
        <f>SUM(C5:C6)</f>
        <v>5866.0755359360001</v>
      </c>
      <c r="D7" s="361">
        <f>SUM(D5:D6)</f>
        <v>8.0559261928548995E-2</v>
      </c>
      <c r="J7" s="111" t="s">
        <v>1461</v>
      </c>
      <c r="K7" s="416">
        <f>B52</f>
        <v>1.7310034873959653E-2</v>
      </c>
    </row>
    <row r="9" spans="1:11" s="81" customFormat="1" x14ac:dyDescent="0.25">
      <c r="A9" s="139" t="s">
        <v>452</v>
      </c>
    </row>
    <row r="10" spans="1:11" x14ac:dyDescent="0.25">
      <c r="A10" t="s">
        <v>453</v>
      </c>
    </row>
    <row r="11" spans="1:11" x14ac:dyDescent="0.25">
      <c r="A11" s="1" t="s">
        <v>454</v>
      </c>
    </row>
    <row r="13" spans="1:11" x14ac:dyDescent="0.25">
      <c r="A13" t="s">
        <v>455</v>
      </c>
    </row>
    <row r="14" spans="1:11" x14ac:dyDescent="0.25">
      <c r="A14" s="1" t="s">
        <v>456</v>
      </c>
    </row>
    <row r="15" spans="1:11" x14ac:dyDescent="0.25">
      <c r="A15" t="s">
        <v>457</v>
      </c>
      <c r="B15">
        <v>0</v>
      </c>
      <c r="C15" t="s">
        <v>458</v>
      </c>
    </row>
    <row r="16" spans="1:11" x14ac:dyDescent="0.25">
      <c r="A16" t="s">
        <v>459</v>
      </c>
      <c r="B16" s="140">
        <v>7987000</v>
      </c>
      <c r="C16" t="s">
        <v>458</v>
      </c>
      <c r="D16" t="s">
        <v>460</v>
      </c>
    </row>
    <row r="18" spans="1:5" x14ac:dyDescent="0.25">
      <c r="A18" s="1" t="s">
        <v>461</v>
      </c>
    </row>
    <row r="19" spans="1:5" x14ac:dyDescent="0.25">
      <c r="A19" s="1"/>
      <c r="C19" s="1" t="s">
        <v>462</v>
      </c>
      <c r="D19" s="1" t="s">
        <v>463</v>
      </c>
    </row>
    <row r="20" spans="1:5" x14ac:dyDescent="0.25">
      <c r="A20" s="1" t="s">
        <v>464</v>
      </c>
      <c r="B20" s="1" t="s">
        <v>465</v>
      </c>
      <c r="C20" s="1" t="s">
        <v>466</v>
      </c>
      <c r="D20" s="1" t="s">
        <v>466</v>
      </c>
    </row>
    <row r="21" spans="1:5" x14ac:dyDescent="0.25">
      <c r="A21" s="141" t="s">
        <v>467</v>
      </c>
      <c r="B21" s="142" t="s">
        <v>468</v>
      </c>
      <c r="C21" s="143">
        <v>10.95</v>
      </c>
      <c r="D21" s="144">
        <v>2.3725000000000001</v>
      </c>
      <c r="E21" t="s">
        <v>469</v>
      </c>
    </row>
    <row r="24" spans="1:5" x14ac:dyDescent="0.25">
      <c r="A24" s="1" t="s">
        <v>470</v>
      </c>
    </row>
    <row r="25" spans="1:5" x14ac:dyDescent="0.25">
      <c r="A25" t="s">
        <v>471</v>
      </c>
      <c r="B25">
        <v>0.44</v>
      </c>
      <c r="C25" t="s">
        <v>472</v>
      </c>
      <c r="E25" t="s">
        <v>1470</v>
      </c>
    </row>
    <row r="26" spans="1:5" ht="30" x14ac:dyDescent="0.25">
      <c r="A26" s="3" t="s">
        <v>474</v>
      </c>
      <c r="B26">
        <v>1.84E-6</v>
      </c>
      <c r="C26" t="s">
        <v>475</v>
      </c>
      <c r="E26" t="s">
        <v>473</v>
      </c>
    </row>
    <row r="27" spans="1:5" x14ac:dyDescent="0.25">
      <c r="A27" s="1" t="s">
        <v>476</v>
      </c>
      <c r="B27" s="144">
        <f>(B25*B26)*1000</f>
        <v>8.0959999999999995E-4</v>
      </c>
      <c r="C27" t="s">
        <v>477</v>
      </c>
    </row>
    <row r="28" spans="1:5" ht="15.75" thickBot="1" x14ac:dyDescent="0.3"/>
    <row r="29" spans="1:5" x14ac:dyDescent="0.25">
      <c r="A29" s="132" t="s">
        <v>478</v>
      </c>
      <c r="B29" s="105" t="s">
        <v>60</v>
      </c>
      <c r="C29" s="105" t="s">
        <v>67</v>
      </c>
      <c r="D29" s="145" t="s">
        <v>448</v>
      </c>
    </row>
    <row r="30" spans="1:5" x14ac:dyDescent="0.25">
      <c r="A30" s="135" t="s">
        <v>479</v>
      </c>
      <c r="B30" s="2">
        <v>0</v>
      </c>
      <c r="C30" s="2">
        <v>0</v>
      </c>
      <c r="D30" s="146">
        <v>0</v>
      </c>
    </row>
    <row r="31" spans="1:5" x14ac:dyDescent="0.25">
      <c r="A31" s="135" t="s">
        <v>462</v>
      </c>
      <c r="B31" s="45">
        <f>($B$16*$C$21)/$B$36</f>
        <v>1684.4369330328768</v>
      </c>
      <c r="C31" s="45">
        <f>(B16*B37*B27)</f>
        <v>5866.0755359360001</v>
      </c>
      <c r="D31" s="136">
        <f>((B31*B38)+C31)/10^6</f>
        <v>5.3030309660856548E-2</v>
      </c>
    </row>
    <row r="32" spans="1:5" x14ac:dyDescent="0.25">
      <c r="A32" s="135" t="s">
        <v>480</v>
      </c>
      <c r="B32" s="45">
        <f>(B16*D21)/B36</f>
        <v>364.96133549045663</v>
      </c>
      <c r="C32" s="2" t="s">
        <v>481</v>
      </c>
      <c r="D32" s="136">
        <f>(B32*B38)/10^6</f>
        <v>1.0218917393732785E-2</v>
      </c>
      <c r="E32" t="s">
        <v>482</v>
      </c>
    </row>
    <row r="33" spans="1:4" ht="15.75" thickBot="1" x14ac:dyDescent="0.3">
      <c r="A33" s="147" t="s">
        <v>483</v>
      </c>
      <c r="B33" s="138">
        <f>SUM(B30:B32)</f>
        <v>2049.3982685233336</v>
      </c>
      <c r="C33" s="138">
        <f>SUM(C30:C32)</f>
        <v>5866.0755359360001</v>
      </c>
      <c r="D33" s="148">
        <f>SUM(D30:D32)</f>
        <v>6.3249227054589338E-2</v>
      </c>
    </row>
    <row r="35" spans="1:4" x14ac:dyDescent="0.25">
      <c r="A35" s="1" t="s">
        <v>484</v>
      </c>
    </row>
    <row r="36" spans="1:4" x14ac:dyDescent="0.25">
      <c r="A36" s="2" t="s">
        <v>485</v>
      </c>
      <c r="B36" s="2">
        <v>51921</v>
      </c>
      <c r="C36" s="2" t="s">
        <v>486</v>
      </c>
    </row>
    <row r="37" spans="1:4" x14ac:dyDescent="0.25">
      <c r="A37" s="2" t="s">
        <v>487</v>
      </c>
      <c r="B37" s="2">
        <v>0.90717999999999999</v>
      </c>
      <c r="C37" s="2" t="s">
        <v>488</v>
      </c>
    </row>
    <row r="38" spans="1:4" x14ac:dyDescent="0.25">
      <c r="A38" s="2" t="s">
        <v>489</v>
      </c>
      <c r="B38" s="2">
        <v>28</v>
      </c>
      <c r="C38" s="2"/>
    </row>
    <row r="40" spans="1:4" s="81" customFormat="1" x14ac:dyDescent="0.25">
      <c r="A40" s="139" t="s">
        <v>490</v>
      </c>
    </row>
    <row r="41" spans="1:4" x14ac:dyDescent="0.25">
      <c r="A41" t="s">
        <v>491</v>
      </c>
    </row>
    <row r="42" spans="1:4" x14ac:dyDescent="0.25">
      <c r="A42" t="s">
        <v>492</v>
      </c>
      <c r="B42" s="15">
        <f>0.634638392157027</f>
        <v>0.634638392157027</v>
      </c>
      <c r="C42" t="s">
        <v>493</v>
      </c>
    </row>
    <row r="43" spans="1:4" x14ac:dyDescent="0.25">
      <c r="A43" t="s">
        <v>494</v>
      </c>
      <c r="B43" s="17">
        <v>224.9736955817543</v>
      </c>
      <c r="C43" t="s">
        <v>493</v>
      </c>
    </row>
    <row r="45" spans="1:4" x14ac:dyDescent="0.25">
      <c r="A45" t="s">
        <v>495</v>
      </c>
      <c r="B45" s="17">
        <v>219.15193666471137</v>
      </c>
      <c r="C45" t="s">
        <v>493</v>
      </c>
    </row>
    <row r="46" spans="1:4" x14ac:dyDescent="0.25">
      <c r="A46" t="s">
        <v>496</v>
      </c>
      <c r="B46" s="15">
        <f>(B42/B43)*B45</f>
        <v>0.61821553121284467</v>
      </c>
      <c r="C46" t="s">
        <v>493</v>
      </c>
    </row>
    <row r="47" spans="1:4" x14ac:dyDescent="0.25">
      <c r="A47" t="s">
        <v>497</v>
      </c>
    </row>
    <row r="49" spans="1:3" x14ac:dyDescent="0.25">
      <c r="A49" t="s">
        <v>498</v>
      </c>
      <c r="B49" s="16">
        <f>B46</f>
        <v>0.61821553121284467</v>
      </c>
      <c r="C49" t="s">
        <v>499</v>
      </c>
    </row>
    <row r="50" spans="1:3" x14ac:dyDescent="0.25">
      <c r="A50" t="s">
        <v>500</v>
      </c>
      <c r="B50">
        <v>0</v>
      </c>
      <c r="C50" t="s">
        <v>501</v>
      </c>
    </row>
    <row r="51" spans="1:3" x14ac:dyDescent="0.25">
      <c r="A51" s="1" t="s">
        <v>502</v>
      </c>
      <c r="B51" s="149">
        <f>(B49+B50)*1000</f>
        <v>618.21553121284467</v>
      </c>
      <c r="C51" s="1" t="s">
        <v>503</v>
      </c>
    </row>
    <row r="52" spans="1:3" x14ac:dyDescent="0.25">
      <c r="A52" s="1" t="s">
        <v>504</v>
      </c>
      <c r="B52" s="364">
        <f>(B51*B38)/10^6</f>
        <v>1.7310034873959653E-2</v>
      </c>
      <c r="C52" s="1" t="s">
        <v>505</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70998-0285-4CF1-81BB-84FD244D9DF8}">
  <sheetPr>
    <tabColor rgb="FF3D9E19"/>
  </sheetPr>
  <dimension ref="A1:M83"/>
  <sheetViews>
    <sheetView workbookViewId="0">
      <selection activeCell="E43" sqref="E43"/>
    </sheetView>
  </sheetViews>
  <sheetFormatPr defaultRowHeight="15" x14ac:dyDescent="0.25"/>
  <cols>
    <col min="1" max="1" width="42.7109375" customWidth="1"/>
    <col min="2" max="2" width="19.85546875" customWidth="1"/>
    <col min="3" max="3" width="25" customWidth="1"/>
    <col min="4" max="4" width="26.7109375" customWidth="1"/>
    <col min="5" max="6" width="21.85546875" bestFit="1" customWidth="1"/>
    <col min="7" max="7" width="26" bestFit="1" customWidth="1"/>
    <col min="10" max="10" width="30.28515625" customWidth="1"/>
    <col min="11" max="11" width="12.5703125" bestFit="1" customWidth="1"/>
    <col min="12" max="12" width="18.140625" customWidth="1"/>
    <col min="13" max="13" width="11.5703125" bestFit="1" customWidth="1"/>
  </cols>
  <sheetData>
    <row r="1" spans="1:13" ht="18.75" x14ac:dyDescent="0.3">
      <c r="A1" s="102" t="s">
        <v>506</v>
      </c>
    </row>
    <row r="3" spans="1:13" x14ac:dyDescent="0.25">
      <c r="A3" s="150" t="s">
        <v>507</v>
      </c>
      <c r="B3" s="151"/>
      <c r="C3" s="152"/>
      <c r="D3" s="152"/>
      <c r="E3" s="152"/>
      <c r="F3" s="152"/>
    </row>
    <row r="4" spans="1:13" x14ac:dyDescent="0.25">
      <c r="A4" s="1"/>
      <c r="B4" s="152"/>
      <c r="C4" s="152"/>
      <c r="D4" s="152"/>
      <c r="E4" s="152"/>
      <c r="F4" s="152"/>
    </row>
    <row r="5" spans="1:13" ht="16.5" customHeight="1" thickBot="1" x14ac:dyDescent="0.3">
      <c r="A5" s="424" t="s">
        <v>508</v>
      </c>
      <c r="B5" s="424"/>
      <c r="C5" s="424"/>
      <c r="D5" s="424"/>
      <c r="E5" s="424"/>
      <c r="F5" s="424"/>
    </row>
    <row r="6" spans="1:13" ht="45.75" thickBot="1" x14ac:dyDescent="0.3">
      <c r="A6" s="153" t="s">
        <v>509</v>
      </c>
      <c r="B6" s="154" t="s">
        <v>510</v>
      </c>
      <c r="C6" s="154" t="s">
        <v>511</v>
      </c>
      <c r="D6" s="154" t="s">
        <v>512</v>
      </c>
      <c r="E6" s="155" t="s">
        <v>513</v>
      </c>
      <c r="F6" s="368" t="s">
        <v>514</v>
      </c>
      <c r="G6" s="365" t="s">
        <v>1304</v>
      </c>
      <c r="J6" t="s">
        <v>1458</v>
      </c>
    </row>
    <row r="7" spans="1:13" ht="15.75" thickTop="1" x14ac:dyDescent="0.25">
      <c r="A7" s="156" t="s">
        <v>515</v>
      </c>
      <c r="B7" s="157">
        <f>F7*Transportation!D44</f>
        <v>2.1054011850484091</v>
      </c>
      <c r="C7" s="158">
        <v>1.4008299999999999E-4</v>
      </c>
      <c r="D7" s="159">
        <v>4.5630000000000002E-5</v>
      </c>
      <c r="E7" s="160">
        <f>(C7*28)+B7+(D7*265)</f>
        <v>2.1214154590484089</v>
      </c>
      <c r="F7" s="161">
        <v>296</v>
      </c>
      <c r="G7" s="6">
        <f>E7/E$28</f>
        <v>0.12308417808362647</v>
      </c>
      <c r="I7" s="359"/>
      <c r="J7" s="1" t="s">
        <v>1466</v>
      </c>
      <c r="K7" s="1" t="s">
        <v>1474</v>
      </c>
      <c r="L7" s="1"/>
      <c r="M7" s="1"/>
    </row>
    <row r="8" spans="1:13" x14ac:dyDescent="0.25">
      <c r="A8" s="162" t="s">
        <v>516</v>
      </c>
      <c r="B8" s="163">
        <f>F8*Transportation!D45</f>
        <v>6.3314005467374086</v>
      </c>
      <c r="C8" s="164">
        <v>3.0096000000000002E-4</v>
      </c>
      <c r="D8" s="165">
        <v>1.4781861033058167E-4</v>
      </c>
      <c r="E8" s="166">
        <f>(C8*28)+B8+(D8*265)</f>
        <v>6.3789993584750126</v>
      </c>
      <c r="F8" s="167">
        <v>711.9</v>
      </c>
      <c r="G8" s="6">
        <f t="shared" ref="G8:G15" si="0">E8/E$28</f>
        <v>0.37010849981552857</v>
      </c>
      <c r="I8" s="359"/>
      <c r="J8" t="s">
        <v>520</v>
      </c>
      <c r="K8">
        <f>E12</f>
        <v>0.4526120942657384</v>
      </c>
      <c r="M8" s="417"/>
    </row>
    <row r="9" spans="1:13" x14ac:dyDescent="0.25">
      <c r="A9" s="162" t="s">
        <v>517</v>
      </c>
      <c r="B9" s="163">
        <f>F9*Transportation!D46</f>
        <v>5.2372358143880611</v>
      </c>
      <c r="C9" s="164">
        <v>3.368E-4</v>
      </c>
      <c r="D9" s="165">
        <v>5.0164800000000005E-4</v>
      </c>
      <c r="E9" s="166">
        <f t="shared" ref="E9:E11" si="1">(C9*28)+B9+(D9*265)</f>
        <v>5.3796029343880614</v>
      </c>
      <c r="F9" s="167">
        <v>418.1</v>
      </c>
      <c r="G9" s="6">
        <f t="shared" si="0"/>
        <v>0.31212368269081708</v>
      </c>
      <c r="I9" s="359"/>
      <c r="J9" t="s">
        <v>523</v>
      </c>
      <c r="K9" s="417">
        <f>E14</f>
        <v>1.2048597316085574</v>
      </c>
      <c r="M9" s="417"/>
    </row>
    <row r="10" spans="1:13" x14ac:dyDescent="0.25">
      <c r="A10" s="162" t="s">
        <v>518</v>
      </c>
      <c r="B10" s="163">
        <f>F10*Transportation!D47</f>
        <v>0.24138926054581142</v>
      </c>
      <c r="C10" s="164">
        <v>1.7248099999999999E-4</v>
      </c>
      <c r="D10" s="168">
        <v>1.86982E-5</v>
      </c>
      <c r="E10" s="166">
        <f t="shared" si="1"/>
        <v>0.2511737515458114</v>
      </c>
      <c r="F10" s="167">
        <v>23.8</v>
      </c>
      <c r="G10" s="6">
        <f t="shared" si="0"/>
        <v>1.4573059997905735E-2</v>
      </c>
      <c r="I10" s="359"/>
      <c r="J10" t="s">
        <v>1462</v>
      </c>
      <c r="K10">
        <f>E15</f>
        <v>1.2661455230000001</v>
      </c>
      <c r="M10" s="417"/>
    </row>
    <row r="11" spans="1:13" x14ac:dyDescent="0.25">
      <c r="A11" s="162" t="s">
        <v>519</v>
      </c>
      <c r="B11" s="163">
        <f>F11*Transportation!D48</f>
        <v>0.18001745869189337</v>
      </c>
      <c r="C11" s="169">
        <v>1.89779E-5</v>
      </c>
      <c r="D11" s="168">
        <v>4.7904400000000004E-7</v>
      </c>
      <c r="E11" s="166">
        <f t="shared" si="1"/>
        <v>0.18067578655189334</v>
      </c>
      <c r="F11" s="167">
        <v>8.6</v>
      </c>
      <c r="G11" s="6">
        <f t="shared" si="0"/>
        <v>1.0482779595340483E-2</v>
      </c>
      <c r="I11" s="359"/>
      <c r="J11" t="s">
        <v>1467</v>
      </c>
      <c r="K11" s="417">
        <f>SUM(E7:E11)</f>
        <v>14.311867290009186</v>
      </c>
      <c r="M11" s="417"/>
    </row>
    <row r="12" spans="1:13" x14ac:dyDescent="0.25">
      <c r="A12" s="162" t="s">
        <v>520</v>
      </c>
      <c r="B12" s="170">
        <f>F12*(E36/E38)</f>
        <v>0.4526120942657384</v>
      </c>
      <c r="C12" s="164" t="s">
        <v>521</v>
      </c>
      <c r="D12" s="165" t="s">
        <v>521</v>
      </c>
      <c r="E12" s="171">
        <f>B12</f>
        <v>0.4526120942657384</v>
      </c>
      <c r="F12" s="167">
        <f>129.7+50.7</f>
        <v>180.39999999999998</v>
      </c>
      <c r="G12" s="6">
        <f t="shared" si="0"/>
        <v>2.6260479707448024E-2</v>
      </c>
      <c r="J12" t="s">
        <v>1463</v>
      </c>
      <c r="K12" s="417">
        <f>E7</f>
        <v>2.1214154590484089</v>
      </c>
      <c r="M12" s="417"/>
    </row>
    <row r="13" spans="1:13" x14ac:dyDescent="0.25">
      <c r="A13" s="162" t="s">
        <v>522</v>
      </c>
      <c r="B13" s="170">
        <v>0</v>
      </c>
      <c r="C13" s="164">
        <v>0</v>
      </c>
      <c r="D13" s="165">
        <v>0</v>
      </c>
      <c r="E13" s="171">
        <f t="shared" ref="E13" si="2">B13</f>
        <v>0</v>
      </c>
      <c r="F13" s="167">
        <v>38</v>
      </c>
      <c r="G13" s="6">
        <f t="shared" si="0"/>
        <v>0</v>
      </c>
      <c r="J13" t="s">
        <v>1464</v>
      </c>
      <c r="K13" s="417">
        <f t="shared" ref="K13:K16" si="3">E8</f>
        <v>6.3789993584750126</v>
      </c>
    </row>
    <row r="14" spans="1:13" x14ac:dyDescent="0.25">
      <c r="A14" s="162" t="s">
        <v>523</v>
      </c>
      <c r="B14" s="369">
        <f>'Rail Calculation'!AD6</f>
        <v>1.2048597316085574</v>
      </c>
      <c r="C14" s="172" t="s">
        <v>521</v>
      </c>
      <c r="D14" s="165" t="s">
        <v>521</v>
      </c>
      <c r="E14" s="166">
        <f>B14</f>
        <v>1.2048597316085574</v>
      </c>
      <c r="F14" s="167">
        <v>33.4</v>
      </c>
      <c r="G14" s="6">
        <f t="shared" si="0"/>
        <v>6.9905764633967443E-2</v>
      </c>
      <c r="J14" t="s">
        <v>1465</v>
      </c>
      <c r="K14" s="417">
        <f t="shared" si="3"/>
        <v>5.3796029343880614</v>
      </c>
    </row>
    <row r="15" spans="1:13" x14ac:dyDescent="0.25">
      <c r="A15" s="173" t="s">
        <v>524</v>
      </c>
      <c r="B15" s="174">
        <v>1.2577806069999999</v>
      </c>
      <c r="C15" s="175">
        <v>2.9874699999999998E-4</v>
      </c>
      <c r="D15" s="175" t="s">
        <v>521</v>
      </c>
      <c r="E15" s="171">
        <f>(C15*28)+B15</f>
        <v>1.2661455230000001</v>
      </c>
      <c r="F15" s="176" t="s">
        <v>521</v>
      </c>
      <c r="G15" s="6">
        <f t="shared" si="0"/>
        <v>7.346155623030283E-2</v>
      </c>
      <c r="J15" t="s">
        <v>518</v>
      </c>
      <c r="K15" s="417">
        <f t="shared" si="3"/>
        <v>0.2511737515458114</v>
      </c>
    </row>
    <row r="16" spans="1:13" ht="16.5" customHeight="1" x14ac:dyDescent="0.25">
      <c r="A16" s="177" t="s">
        <v>525</v>
      </c>
      <c r="B16" s="170">
        <v>7.9579597241456149E-2</v>
      </c>
      <c r="C16" s="164">
        <v>4.2859238132403547E-6</v>
      </c>
      <c r="D16" s="164" t="s">
        <v>521</v>
      </c>
      <c r="E16" s="171">
        <f>(C16*28)+B16</f>
        <v>7.969960310822688E-2</v>
      </c>
      <c r="F16" s="167" t="s">
        <v>521</v>
      </c>
      <c r="G16" s="366"/>
      <c r="J16" t="s">
        <v>519</v>
      </c>
      <c r="K16" s="417">
        <f t="shared" si="3"/>
        <v>0.18067578655189334</v>
      </c>
    </row>
    <row r="17" spans="1:11" ht="16.5" customHeight="1" x14ac:dyDescent="0.25">
      <c r="A17" s="177" t="s">
        <v>526</v>
      </c>
      <c r="B17" s="170">
        <v>3.4828051875514074E-3</v>
      </c>
      <c r="C17" s="164">
        <v>5.3741282428679201E-8</v>
      </c>
      <c r="D17" s="164" t="s">
        <v>521</v>
      </c>
      <c r="E17" s="171">
        <f t="shared" ref="E17:E27" si="4">(C17*28)+B17</f>
        <v>3.4843099434594105E-3</v>
      </c>
      <c r="F17" s="167" t="s">
        <v>521</v>
      </c>
      <c r="K17" s="417"/>
    </row>
    <row r="18" spans="1:11" ht="16.5" customHeight="1" x14ac:dyDescent="0.25">
      <c r="A18" s="177" t="s">
        <v>66</v>
      </c>
      <c r="B18" s="170">
        <v>8.5223611420158163E-2</v>
      </c>
      <c r="C18" s="164">
        <v>4.9189581240259536E-5</v>
      </c>
      <c r="D18" s="164" t="s">
        <v>521</v>
      </c>
      <c r="E18" s="171">
        <f t="shared" si="4"/>
        <v>8.6600919694885425E-2</v>
      </c>
      <c r="F18" s="167" t="s">
        <v>521</v>
      </c>
    </row>
    <row r="19" spans="1:11" ht="16.5" customHeight="1" x14ac:dyDescent="0.25">
      <c r="A19" s="177" t="s">
        <v>527</v>
      </c>
      <c r="B19" s="170">
        <v>0.72225685795239769</v>
      </c>
      <c r="C19" s="164">
        <v>2.4343059948481055E-5</v>
      </c>
      <c r="D19" s="164" t="s">
        <v>521</v>
      </c>
      <c r="E19" s="171">
        <f t="shared" si="4"/>
        <v>0.72293846363095515</v>
      </c>
      <c r="F19" s="167" t="s">
        <v>521</v>
      </c>
    </row>
    <row r="20" spans="1:11" ht="16.5" customHeight="1" x14ac:dyDescent="0.25">
      <c r="A20" s="177" t="s">
        <v>528</v>
      </c>
      <c r="B20" s="170">
        <v>9.8879908456519366E-2</v>
      </c>
      <c r="C20" s="164">
        <v>1.3014044261185174E-5</v>
      </c>
      <c r="D20" s="164" t="s">
        <v>521</v>
      </c>
      <c r="E20" s="171">
        <f t="shared" si="4"/>
        <v>9.9244301695832551E-2</v>
      </c>
      <c r="F20" s="167" t="s">
        <v>521</v>
      </c>
    </row>
    <row r="21" spans="1:11" ht="16.5" customHeight="1" x14ac:dyDescent="0.25">
      <c r="A21" s="177" t="s">
        <v>529</v>
      </c>
      <c r="B21" s="170">
        <v>0.14495483444226484</v>
      </c>
      <c r="C21" s="164">
        <v>1.0704810921180135E-4</v>
      </c>
      <c r="D21" s="164" t="s">
        <v>521</v>
      </c>
      <c r="E21" s="171">
        <f t="shared" si="4"/>
        <v>0.14795218150019529</v>
      </c>
      <c r="F21" s="167" t="s">
        <v>521</v>
      </c>
    </row>
    <row r="22" spans="1:11" ht="16.5" customHeight="1" x14ac:dyDescent="0.25">
      <c r="A22" s="177" t="s">
        <v>530</v>
      </c>
      <c r="B22" s="170">
        <v>1.721410524083504E-4</v>
      </c>
      <c r="C22" s="164">
        <v>1.7518231403254297E-8</v>
      </c>
      <c r="D22" s="164" t="s">
        <v>521</v>
      </c>
      <c r="E22" s="171">
        <f t="shared" si="4"/>
        <v>1.7263156288764152E-4</v>
      </c>
      <c r="F22" s="167" t="s">
        <v>521</v>
      </c>
    </row>
    <row r="23" spans="1:11" ht="16.5" customHeight="1" x14ac:dyDescent="0.25">
      <c r="A23" s="177" t="s">
        <v>531</v>
      </c>
      <c r="B23" s="170">
        <v>4.071044747695312E-2</v>
      </c>
      <c r="C23" s="164">
        <v>3.7345211345415563E-5</v>
      </c>
      <c r="D23" s="164" t="s">
        <v>521</v>
      </c>
      <c r="E23" s="171">
        <f t="shared" si="4"/>
        <v>4.1756113394624754E-2</v>
      </c>
      <c r="F23" s="167" t="s">
        <v>521</v>
      </c>
    </row>
    <row r="24" spans="1:11" ht="16.5" customHeight="1" x14ac:dyDescent="0.25">
      <c r="A24" s="177" t="s">
        <v>532</v>
      </c>
      <c r="B24" s="170">
        <v>4.7961759433414498E-2</v>
      </c>
      <c r="C24" s="164">
        <v>3.4358356879389171E-5</v>
      </c>
      <c r="D24" s="164" t="s">
        <v>521</v>
      </c>
      <c r="E24" s="171">
        <f t="shared" si="4"/>
        <v>4.8923793426037393E-2</v>
      </c>
      <c r="F24" s="167" t="s">
        <v>521</v>
      </c>
    </row>
    <row r="25" spans="1:11" ht="16.5" customHeight="1" x14ac:dyDescent="0.25">
      <c r="A25" s="177" t="s">
        <v>533</v>
      </c>
      <c r="B25" s="170">
        <v>8.0866261258979999E-3</v>
      </c>
      <c r="C25" s="164">
        <v>5.5500766729741608E-7</v>
      </c>
      <c r="D25" s="164" t="s">
        <v>521</v>
      </c>
      <c r="E25" s="171">
        <f t="shared" si="4"/>
        <v>8.1021663405823272E-3</v>
      </c>
      <c r="F25" s="167" t="s">
        <v>521</v>
      </c>
    </row>
    <row r="26" spans="1:11" ht="16.5" customHeight="1" x14ac:dyDescent="0.25">
      <c r="A26" s="177" t="s">
        <v>534</v>
      </c>
      <c r="B26" s="170">
        <v>2.5287766897292816E-2</v>
      </c>
      <c r="C26" s="164">
        <v>2.840984234454342E-5</v>
      </c>
      <c r="D26" s="164" t="s">
        <v>521</v>
      </c>
      <c r="E26" s="171">
        <f t="shared" si="4"/>
        <v>2.6083242482940031E-2</v>
      </c>
      <c r="F26" s="167" t="s">
        <v>521</v>
      </c>
    </row>
    <row r="27" spans="1:11" ht="16.5" customHeight="1" x14ac:dyDescent="0.25">
      <c r="A27" s="177" t="s">
        <v>479</v>
      </c>
      <c r="B27" s="170">
        <v>1.1842512385714199E-3</v>
      </c>
      <c r="C27" s="164">
        <v>1.26141753663267E-7</v>
      </c>
      <c r="D27" s="164" t="s">
        <v>521</v>
      </c>
      <c r="E27" s="171">
        <f t="shared" si="4"/>
        <v>1.1877832076739913E-3</v>
      </c>
      <c r="F27" s="167" t="s">
        <v>521</v>
      </c>
    </row>
    <row r="28" spans="1:11" ht="16.5" customHeight="1" thickBot="1" x14ac:dyDescent="0.3">
      <c r="A28" s="178" t="s">
        <v>535</v>
      </c>
      <c r="B28" s="179">
        <f>SUM(B7:B14)+SUM(B16:B27)</f>
        <v>17.010696698210765</v>
      </c>
      <c r="C28" s="180">
        <f>SUM(C7:C15)</f>
        <v>1.2680489E-3</v>
      </c>
      <c r="D28" s="181" t="s">
        <v>521</v>
      </c>
      <c r="E28" s="182">
        <f>SUM(E7:E14)+SUM(E16:E27)</f>
        <v>17.235484625871784</v>
      </c>
      <c r="F28" s="183">
        <f>SUM(F7:F14)</f>
        <v>1710.1999999999998</v>
      </c>
      <c r="G28" s="366">
        <f>SUM(G7:G15)</f>
        <v>1.0000000007549368</v>
      </c>
    </row>
    <row r="29" spans="1:11" ht="30" customHeight="1" x14ac:dyDescent="0.25">
      <c r="A29" s="425" t="s">
        <v>1307</v>
      </c>
      <c r="B29" s="425"/>
      <c r="C29" s="425"/>
      <c r="D29" s="425"/>
      <c r="E29" s="425"/>
      <c r="F29" s="425"/>
      <c r="G29" s="185"/>
      <c r="H29" s="185"/>
      <c r="I29" s="185"/>
      <c r="J29" s="185"/>
      <c r="K29" s="185"/>
    </row>
    <row r="30" spans="1:11" x14ac:dyDescent="0.25">
      <c r="A30" s="185"/>
      <c r="B30" s="185"/>
      <c r="C30" s="185"/>
      <c r="D30" s="185"/>
      <c r="E30" s="185"/>
      <c r="F30" s="185"/>
      <c r="G30" s="185"/>
      <c r="H30" s="185"/>
      <c r="I30" s="185"/>
      <c r="J30" s="185"/>
      <c r="K30" s="185"/>
    </row>
    <row r="31" spans="1:11" x14ac:dyDescent="0.25">
      <c r="A31" s="150" t="s">
        <v>536</v>
      </c>
      <c r="B31" s="185"/>
      <c r="C31" s="185"/>
      <c r="D31" s="185"/>
      <c r="E31" s="185"/>
      <c r="F31" s="185"/>
      <c r="G31" s="185"/>
      <c r="H31" s="185"/>
      <c r="I31" s="185"/>
      <c r="J31" s="185"/>
      <c r="K31" s="185"/>
    </row>
    <row r="32" spans="1:11" x14ac:dyDescent="0.25">
      <c r="A32" s="1"/>
      <c r="B32" s="185"/>
      <c r="C32" s="185"/>
      <c r="D32" s="185"/>
      <c r="E32" s="185"/>
      <c r="F32" s="185"/>
      <c r="G32" s="185"/>
      <c r="H32" s="185"/>
      <c r="I32" s="185"/>
      <c r="J32" s="185"/>
      <c r="K32" s="185"/>
    </row>
    <row r="33" spans="1:11" ht="15.75" thickBot="1" x14ac:dyDescent="0.3">
      <c r="A33" s="186" t="s">
        <v>537</v>
      </c>
      <c r="B33" s="186"/>
      <c r="C33" s="186"/>
      <c r="D33" s="186"/>
      <c r="E33" s="186"/>
      <c r="F33" s="185"/>
      <c r="G33" s="185"/>
      <c r="H33" s="185"/>
      <c r="I33" s="185"/>
      <c r="J33" s="185"/>
      <c r="K33" s="185"/>
    </row>
    <row r="34" spans="1:11" x14ac:dyDescent="0.25">
      <c r="A34" s="187"/>
      <c r="B34" s="188" t="s">
        <v>38</v>
      </c>
      <c r="C34" s="189" t="s">
        <v>538</v>
      </c>
      <c r="D34" s="188" t="s">
        <v>539</v>
      </c>
      <c r="E34" s="189" t="s">
        <v>540</v>
      </c>
      <c r="F34" s="189" t="s">
        <v>11</v>
      </c>
      <c r="G34" s="190" t="s">
        <v>541</v>
      </c>
      <c r="H34" s="185"/>
      <c r="I34" s="185"/>
      <c r="J34" s="185"/>
      <c r="K34" s="185"/>
    </row>
    <row r="35" spans="1:11" ht="45" x14ac:dyDescent="0.25">
      <c r="A35" s="191" t="s">
        <v>542</v>
      </c>
      <c r="B35" s="192">
        <v>21801</v>
      </c>
      <c r="C35" s="193">
        <v>37</v>
      </c>
      <c r="D35" s="193">
        <v>16378</v>
      </c>
      <c r="E35" s="193">
        <v>1514</v>
      </c>
      <c r="F35" s="193">
        <v>14</v>
      </c>
      <c r="G35" s="194" t="s">
        <v>543</v>
      </c>
      <c r="H35" s="185"/>
      <c r="I35" s="185"/>
      <c r="J35" s="185"/>
      <c r="K35" s="185"/>
    </row>
    <row r="36" spans="1:11" ht="30" x14ac:dyDescent="0.25">
      <c r="A36" s="191" t="s">
        <v>544</v>
      </c>
      <c r="B36" s="193">
        <f>(((21801000*42)*8.49)/1000)/1000000</f>
        <v>7.7738005800000005</v>
      </c>
      <c r="C36" s="193">
        <f>(((37000*42)*8.31)/1000)/1000000</f>
        <v>1.291374E-2</v>
      </c>
      <c r="D36" s="193">
        <f>(((16378000*42)*10.19)/1000)/1000000</f>
        <v>7.0094564400000001</v>
      </c>
      <c r="E36" s="193">
        <f>(((1514000*42)*9.75)/1000)/1000000</f>
        <v>0.61998299999999995</v>
      </c>
      <c r="F36" s="193">
        <f>(((14000000000/1000)*54.81)/1000)/1000000</f>
        <v>0.76734000000000002</v>
      </c>
      <c r="G36" s="194">
        <f>SUM(B36:F36)</f>
        <v>16.183493760000001</v>
      </c>
      <c r="H36" s="185"/>
      <c r="I36" s="185"/>
      <c r="J36" s="185"/>
      <c r="K36" s="185"/>
    </row>
    <row r="37" spans="1:11" ht="45" x14ac:dyDescent="0.25">
      <c r="A37" s="191" t="s">
        <v>545</v>
      </c>
      <c r="B37" s="195">
        <v>3133768</v>
      </c>
      <c r="C37" s="195">
        <v>4194</v>
      </c>
      <c r="D37" s="196">
        <v>1080183</v>
      </c>
      <c r="E37" s="195">
        <v>603443</v>
      </c>
      <c r="F37" s="195">
        <v>1306</v>
      </c>
      <c r="G37" s="194" t="s">
        <v>543</v>
      </c>
      <c r="H37" s="185"/>
      <c r="I37" s="185"/>
      <c r="J37" s="185"/>
      <c r="K37" s="185"/>
    </row>
    <row r="38" spans="1:11" ht="30.75" thickBot="1" x14ac:dyDescent="0.3">
      <c r="A38" s="197" t="s">
        <v>546</v>
      </c>
      <c r="B38" s="198">
        <f>(((3133768000*42)*8.49)/1000)/1000000</f>
        <v>1117.4389934400001</v>
      </c>
      <c r="C38" s="198">
        <f>(((4194000*42)*8.31)/1000)/1000000</f>
        <v>1.46378988</v>
      </c>
      <c r="D38" s="198">
        <f>(((1080183000*42)*10.19)/1000)/1000000</f>
        <v>462.29672033999998</v>
      </c>
      <c r="E38" s="198">
        <f>(((603443000*42)*9.75)/1000)/1000000</f>
        <v>247.10990849999999</v>
      </c>
      <c r="F38" s="198">
        <f>(((1306000000000/1000)*54.81)/1000)/1000000</f>
        <v>71.581860000000006</v>
      </c>
      <c r="G38" s="199">
        <f>SUM(B38:F38)</f>
        <v>1899.8912721600002</v>
      </c>
      <c r="H38" s="185"/>
      <c r="I38" s="185"/>
      <c r="J38" s="185"/>
      <c r="K38" s="185"/>
    </row>
    <row r="39" spans="1:11" x14ac:dyDescent="0.25">
      <c r="A39" s="200" t="s">
        <v>547</v>
      </c>
      <c r="B39" s="184"/>
      <c r="C39" s="184"/>
      <c r="D39" s="184"/>
      <c r="E39" s="184"/>
      <c r="F39" s="200"/>
      <c r="G39" s="200"/>
      <c r="H39" s="185"/>
      <c r="I39" s="185"/>
      <c r="J39" s="185"/>
      <c r="K39" s="185"/>
    </row>
    <row r="40" spans="1:11" ht="27.75" customHeight="1" x14ac:dyDescent="0.25">
      <c r="A40" s="425" t="s">
        <v>548</v>
      </c>
      <c r="B40" s="425"/>
      <c r="C40" s="425"/>
      <c r="D40" s="425"/>
      <c r="E40" s="425"/>
      <c r="F40" s="425"/>
      <c r="G40" s="425"/>
      <c r="H40" s="185"/>
      <c r="I40" s="185"/>
      <c r="J40" s="185"/>
      <c r="K40" s="185"/>
    </row>
    <row r="41" spans="1:11" ht="15.95" customHeight="1" x14ac:dyDescent="0.25">
      <c r="A41" s="184"/>
      <c r="B41" s="201"/>
      <c r="C41" s="201"/>
      <c r="D41" s="201"/>
      <c r="E41" s="201"/>
      <c r="F41" s="184"/>
      <c r="G41" s="184"/>
      <c r="H41" s="185"/>
      <c r="I41" s="185"/>
      <c r="J41" s="185"/>
      <c r="K41" s="185"/>
    </row>
    <row r="42" spans="1:11" ht="45.75" thickBot="1" x14ac:dyDescent="0.3">
      <c r="A42" s="202" t="s">
        <v>1305</v>
      </c>
      <c r="B42" s="202"/>
      <c r="C42" s="202"/>
      <c r="D42" s="202"/>
      <c r="E42" s="201"/>
      <c r="F42" s="201"/>
      <c r="G42" s="201"/>
      <c r="H42" s="185"/>
      <c r="I42" s="185"/>
      <c r="J42" s="185"/>
      <c r="K42" s="185"/>
    </row>
    <row r="43" spans="1:11" ht="14.45" customHeight="1" x14ac:dyDescent="0.25">
      <c r="A43" s="203" t="s">
        <v>509</v>
      </c>
      <c r="B43" s="189" t="s">
        <v>549</v>
      </c>
      <c r="C43" s="189" t="s">
        <v>550</v>
      </c>
      <c r="D43" s="204" t="s">
        <v>551</v>
      </c>
      <c r="E43" s="201"/>
      <c r="F43" s="201"/>
      <c r="G43" s="201"/>
      <c r="H43" s="185"/>
      <c r="I43" s="185"/>
      <c r="J43" s="185"/>
      <c r="K43" s="185"/>
    </row>
    <row r="44" spans="1:11" x14ac:dyDescent="0.25">
      <c r="A44" s="205" t="s">
        <v>515</v>
      </c>
      <c r="B44" s="193">
        <v>2.9040569108435901</v>
      </c>
      <c r="C44" s="206">
        <v>408.28363340639902</v>
      </c>
      <c r="D44" s="194">
        <f t="shared" ref="D44:D49" si="5">B44/C44</f>
        <v>7.1128418413797601E-3</v>
      </c>
      <c r="E44" s="201"/>
      <c r="F44" s="201"/>
      <c r="G44" s="201"/>
      <c r="H44" s="185"/>
      <c r="I44" s="185"/>
      <c r="J44" s="185"/>
      <c r="K44" s="185"/>
    </row>
    <row r="45" spans="1:11" x14ac:dyDescent="0.25">
      <c r="A45" s="205" t="s">
        <v>516</v>
      </c>
      <c r="B45" s="193">
        <v>7.71830472674608</v>
      </c>
      <c r="C45" s="206">
        <v>867.84291949463704</v>
      </c>
      <c r="D45" s="194">
        <f t="shared" si="5"/>
        <v>8.8936656085649799E-3</v>
      </c>
      <c r="E45" s="201"/>
      <c r="F45" s="201"/>
      <c r="G45" s="201"/>
      <c r="H45" s="185"/>
      <c r="I45" s="185"/>
      <c r="J45" s="185"/>
      <c r="K45" s="185"/>
    </row>
    <row r="46" spans="1:11" x14ac:dyDescent="0.25">
      <c r="A46" s="205" t="s">
        <v>552</v>
      </c>
      <c r="B46" s="193">
        <v>5.5790025699523396</v>
      </c>
      <c r="C46" s="206">
        <v>445.383988265119</v>
      </c>
      <c r="D46" s="194">
        <f t="shared" si="5"/>
        <v>1.2526275566582304E-2</v>
      </c>
      <c r="E46" s="201"/>
      <c r="F46" s="201"/>
      <c r="G46" s="201"/>
      <c r="H46" s="185"/>
      <c r="I46" s="185"/>
      <c r="J46" s="185"/>
      <c r="K46" s="185"/>
    </row>
    <row r="47" spans="1:11" x14ac:dyDescent="0.25">
      <c r="A47" s="205" t="s">
        <v>518</v>
      </c>
      <c r="B47" s="193">
        <v>0.24485973601015201</v>
      </c>
      <c r="C47" s="206">
        <v>24.142174775566001</v>
      </c>
      <c r="D47" s="194">
        <f t="shared" si="5"/>
        <v>1.0142405905286193E-2</v>
      </c>
      <c r="E47" s="201"/>
      <c r="F47" s="201"/>
      <c r="G47" s="201"/>
      <c r="H47" s="185"/>
      <c r="I47" s="185"/>
      <c r="J47" s="185"/>
      <c r="K47" s="185"/>
    </row>
    <row r="48" spans="1:11" x14ac:dyDescent="0.25">
      <c r="A48" s="205" t="s">
        <v>519</v>
      </c>
      <c r="B48" s="193">
        <v>0.165227440979764</v>
      </c>
      <c r="C48" s="206">
        <v>7.8934343521535304</v>
      </c>
      <c r="D48" s="194">
        <f t="shared" si="5"/>
        <v>2.0932262638592252E-2</v>
      </c>
      <c r="E48" s="201"/>
      <c r="F48" s="201"/>
      <c r="G48" s="201"/>
      <c r="H48" s="185"/>
      <c r="I48" s="185"/>
      <c r="J48" s="185"/>
      <c r="K48" s="185"/>
    </row>
    <row r="49" spans="1:11" ht="15.75" thickBot="1" x14ac:dyDescent="0.3">
      <c r="A49" s="207" t="s">
        <v>553</v>
      </c>
      <c r="B49" s="208">
        <f>SUM(B44:B48)</f>
        <v>16.611451384531925</v>
      </c>
      <c r="C49" s="208">
        <f>SUM(C44:C48)</f>
        <v>1753.5461502938747</v>
      </c>
      <c r="D49" s="199">
        <f t="shared" si="5"/>
        <v>9.4730619902692794E-3</v>
      </c>
      <c r="E49" s="201"/>
      <c r="F49" s="201"/>
      <c r="G49" s="201"/>
      <c r="H49" s="185"/>
      <c r="I49" s="185"/>
      <c r="J49" s="185"/>
      <c r="K49" s="185"/>
    </row>
    <row r="50" spans="1:11" ht="27.75" customHeight="1" x14ac:dyDescent="0.25">
      <c r="A50" s="423" t="s">
        <v>1306</v>
      </c>
      <c r="B50" s="423"/>
      <c r="C50" s="423"/>
      <c r="D50" s="423"/>
      <c r="E50" s="201"/>
      <c r="F50" s="201"/>
      <c r="G50" s="201"/>
      <c r="H50" s="185"/>
      <c r="I50" s="185"/>
      <c r="J50" s="185"/>
      <c r="K50" s="185"/>
    </row>
    <row r="51" spans="1:11" x14ac:dyDescent="0.25">
      <c r="A51" s="426" t="s">
        <v>554</v>
      </c>
      <c r="B51" s="426"/>
      <c r="C51" s="426"/>
      <c r="D51" s="426"/>
      <c r="E51" s="201"/>
      <c r="F51" s="201"/>
      <c r="G51" s="201"/>
      <c r="H51" s="185"/>
      <c r="I51" s="185"/>
      <c r="J51" s="185"/>
      <c r="K51" s="185"/>
    </row>
    <row r="52" spans="1:11" ht="15.95" customHeight="1" x14ac:dyDescent="0.25">
      <c r="B52" s="201"/>
      <c r="C52" s="201"/>
      <c r="D52" s="201"/>
      <c r="E52" s="201"/>
      <c r="F52" s="201"/>
      <c r="G52" s="201"/>
      <c r="H52" s="185"/>
      <c r="I52" s="185"/>
      <c r="J52" s="185"/>
      <c r="K52" s="185"/>
    </row>
    <row r="53" spans="1:11" x14ac:dyDescent="0.25">
      <c r="A53" s="201"/>
      <c r="B53" s="185"/>
      <c r="C53" s="185"/>
      <c r="D53" s="185"/>
      <c r="E53" s="185"/>
      <c r="F53" s="201"/>
      <c r="G53" s="201"/>
      <c r="H53" s="185"/>
      <c r="I53" s="185"/>
      <c r="J53" s="185"/>
      <c r="K53" s="185"/>
    </row>
    <row r="54" spans="1:11" ht="15.75" thickBot="1" x14ac:dyDescent="0.3">
      <c r="A54" s="1" t="s">
        <v>555</v>
      </c>
      <c r="B54" s="152"/>
      <c r="C54" s="152"/>
      <c r="D54" s="152"/>
      <c r="E54" s="185"/>
      <c r="F54" s="185"/>
      <c r="G54" s="185"/>
      <c r="H54" s="185"/>
      <c r="I54" s="185"/>
      <c r="J54" s="185"/>
      <c r="K54" s="185"/>
    </row>
    <row r="55" spans="1:11" ht="30" x14ac:dyDescent="0.25">
      <c r="A55" s="209" t="s">
        <v>556</v>
      </c>
      <c r="B55" s="210" t="s">
        <v>557</v>
      </c>
      <c r="C55" s="211" t="s">
        <v>558</v>
      </c>
      <c r="D55" s="152"/>
      <c r="E55" s="185"/>
      <c r="F55" s="185"/>
      <c r="G55" s="185"/>
      <c r="H55" s="185"/>
      <c r="I55" s="185"/>
      <c r="J55" s="185"/>
      <c r="K55" s="185"/>
    </row>
    <row r="56" spans="1:11" ht="18" x14ac:dyDescent="0.35">
      <c r="A56" s="212" t="s">
        <v>559</v>
      </c>
      <c r="B56" s="193" t="s">
        <v>560</v>
      </c>
      <c r="C56" s="213">
        <v>1</v>
      </c>
      <c r="D56" s="152"/>
      <c r="E56" s="185"/>
      <c r="F56" s="185"/>
      <c r="G56" s="185"/>
      <c r="H56" s="185"/>
      <c r="I56" s="185"/>
      <c r="J56" s="185"/>
      <c r="K56" s="185"/>
    </row>
    <row r="57" spans="1:11" ht="18" x14ac:dyDescent="0.35">
      <c r="A57" s="212" t="s">
        <v>410</v>
      </c>
      <c r="B57" s="165" t="s">
        <v>561</v>
      </c>
      <c r="C57" s="213">
        <v>28</v>
      </c>
      <c r="D57" s="152"/>
      <c r="E57" s="152"/>
      <c r="F57" s="185"/>
      <c r="G57" s="185"/>
      <c r="H57" s="185"/>
      <c r="I57" s="185"/>
      <c r="J57" s="185"/>
      <c r="K57" s="185"/>
    </row>
    <row r="58" spans="1:11" ht="18.75" thickBot="1" x14ac:dyDescent="0.4">
      <c r="A58" s="214" t="s">
        <v>562</v>
      </c>
      <c r="B58" s="215" t="s">
        <v>563</v>
      </c>
      <c r="C58" s="216">
        <v>265</v>
      </c>
      <c r="D58" s="152"/>
      <c r="E58" s="152"/>
      <c r="F58" s="152"/>
    </row>
    <row r="59" spans="1:11" ht="26.45" customHeight="1" x14ac:dyDescent="0.25">
      <c r="A59" s="423" t="s">
        <v>564</v>
      </c>
      <c r="B59" s="423"/>
      <c r="C59" s="423"/>
      <c r="D59" s="152"/>
      <c r="E59" s="152"/>
      <c r="F59" s="152"/>
    </row>
    <row r="60" spans="1:11" x14ac:dyDescent="0.25">
      <c r="B60" s="152"/>
      <c r="C60" s="152"/>
      <c r="D60" s="152"/>
      <c r="E60" s="152"/>
      <c r="F60" s="152"/>
    </row>
    <row r="61" spans="1:11" x14ac:dyDescent="0.25">
      <c r="A61" s="217"/>
      <c r="B61" s="152"/>
      <c r="C61" s="152"/>
      <c r="D61" s="152"/>
      <c r="E61" s="152"/>
      <c r="F61" s="152"/>
    </row>
    <row r="62" spans="1:11" x14ac:dyDescent="0.25">
      <c r="A62" s="217"/>
      <c r="B62" s="152"/>
      <c r="C62" s="152"/>
      <c r="D62" s="152"/>
      <c r="E62" s="152"/>
      <c r="F62" s="152"/>
    </row>
    <row r="63" spans="1:11" x14ac:dyDescent="0.25">
      <c r="A63" s="218"/>
      <c r="F63" s="152"/>
    </row>
    <row r="83" spans="1:1" x14ac:dyDescent="0.25">
      <c r="A83" s="1"/>
    </row>
  </sheetData>
  <mergeCells count="6">
    <mergeCell ref="A59:C59"/>
    <mergeCell ref="A5:F5"/>
    <mergeCell ref="A29:F29"/>
    <mergeCell ref="A40:G40"/>
    <mergeCell ref="A50:D50"/>
    <mergeCell ref="A51:D5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E55DB-6ECB-4851-AE59-0E816F78BBE2}">
  <sheetPr>
    <tabColor theme="9"/>
  </sheetPr>
  <dimension ref="A1:AL48"/>
  <sheetViews>
    <sheetView topLeftCell="P1" workbookViewId="0">
      <selection activeCell="AC18" sqref="AC18"/>
    </sheetView>
  </sheetViews>
  <sheetFormatPr defaultRowHeight="15" x14ac:dyDescent="0.25"/>
  <cols>
    <col min="1" max="1" width="15.7109375" style="375" customWidth="1"/>
    <col min="2" max="2" width="15.7109375" style="384" customWidth="1"/>
    <col min="3" max="4" width="15.7109375" customWidth="1"/>
    <col min="5" max="5" width="20" style="376" customWidth="1"/>
    <col min="6" max="8" width="15.7109375" style="376" customWidth="1"/>
    <col min="9" max="9" width="15.7109375" customWidth="1"/>
    <col min="14" max="17" width="18.28515625" bestFit="1" customWidth="1"/>
    <col min="19" max="19" width="13.140625" customWidth="1"/>
    <col min="20" max="20" width="27" customWidth="1"/>
    <col min="27" max="27" width="16.85546875" customWidth="1"/>
    <col min="28" max="28" width="16.28515625" customWidth="1"/>
    <col min="29" max="29" width="32.85546875" bestFit="1" customWidth="1"/>
    <col min="30" max="30" width="25.140625" bestFit="1" customWidth="1"/>
    <col min="31" max="31" width="14" bestFit="1" customWidth="1"/>
    <col min="36" max="36" width="10.7109375" customWidth="1"/>
    <col min="37" max="37" width="20.28515625" customWidth="1"/>
  </cols>
  <sheetData>
    <row r="1" spans="1:38" x14ac:dyDescent="0.25">
      <c r="A1" s="372" t="s">
        <v>1309</v>
      </c>
      <c r="B1" s="1" t="s">
        <v>4</v>
      </c>
      <c r="C1" s="1" t="s">
        <v>1310</v>
      </c>
      <c r="D1" s="1" t="s">
        <v>1311</v>
      </c>
      <c r="E1" s="373" t="s">
        <v>1312</v>
      </c>
      <c r="F1" s="373" t="s">
        <v>1313</v>
      </c>
      <c r="G1" s="373" t="s">
        <v>1314</v>
      </c>
      <c r="H1" s="373" t="s">
        <v>1315</v>
      </c>
      <c r="I1" s="1" t="s">
        <v>1316</v>
      </c>
      <c r="J1" s="1"/>
      <c r="K1" s="1"/>
      <c r="L1" s="1"/>
      <c r="M1" s="1"/>
      <c r="N1" s="1" t="s">
        <v>1317</v>
      </c>
      <c r="O1" s="1">
        <v>2026</v>
      </c>
      <c r="P1" s="1">
        <v>2032</v>
      </c>
      <c r="Q1" s="1">
        <v>2038</v>
      </c>
      <c r="S1" s="370" t="s">
        <v>1471</v>
      </c>
      <c r="T1" s="1" t="s">
        <v>1472</v>
      </c>
      <c r="U1" s="1" t="s">
        <v>1473</v>
      </c>
      <c r="AB1" s="374" t="s">
        <v>1318</v>
      </c>
      <c r="AC1" s="374"/>
      <c r="AD1" s="374"/>
      <c r="AE1" s="374"/>
      <c r="AF1" s="374"/>
    </row>
    <row r="2" spans="1:38" x14ac:dyDescent="0.25">
      <c r="A2" s="375">
        <v>6</v>
      </c>
      <c r="B2" t="s">
        <v>549</v>
      </c>
      <c r="C2" t="s">
        <v>1319</v>
      </c>
      <c r="D2" t="s">
        <v>1320</v>
      </c>
      <c r="E2" s="376">
        <v>8.6258138999999998E-2</v>
      </c>
      <c r="F2" s="376">
        <v>8.5481815749000004E-2</v>
      </c>
      <c r="G2" s="376">
        <v>8.6516913416999894E-2</v>
      </c>
      <c r="H2" s="376">
        <v>9.2554983146999906E-2</v>
      </c>
      <c r="I2" t="s">
        <v>1321</v>
      </c>
      <c r="N2" s="7">
        <f>(E2*$T$2)/$S$2</f>
        <v>833369.36848562304</v>
      </c>
      <c r="O2" s="7">
        <f t="shared" ref="O2:Q17" si="0">(F2*$T$2)/$S$2</f>
        <v>825869.04416925251</v>
      </c>
      <c r="P2" s="7">
        <f t="shared" si="0"/>
        <v>835869.47659107891</v>
      </c>
      <c r="Q2" s="7">
        <f t="shared" si="0"/>
        <v>894205.3323850726</v>
      </c>
      <c r="S2" s="142">
        <v>9.3899999999999997E-2</v>
      </c>
      <c r="T2">
        <v>907200</v>
      </c>
      <c r="U2">
        <v>10.19</v>
      </c>
      <c r="AD2" s="370"/>
      <c r="AI2" s="1"/>
    </row>
    <row r="3" spans="1:38" x14ac:dyDescent="0.25">
      <c r="A3" s="375">
        <v>6</v>
      </c>
      <c r="B3" t="s">
        <v>549</v>
      </c>
      <c r="C3" t="s">
        <v>1322</v>
      </c>
      <c r="D3" t="s">
        <v>1320</v>
      </c>
      <c r="E3" s="376">
        <v>1.09827447</v>
      </c>
      <c r="F3" s="376">
        <v>1.0883899997699999</v>
      </c>
      <c r="G3" s="376">
        <v>1.1015692934100001</v>
      </c>
      <c r="H3" s="376">
        <v>1.1784485063100001</v>
      </c>
      <c r="I3" t="s">
        <v>1321</v>
      </c>
      <c r="N3" s="7">
        <f t="shared" ref="N3:Q45" si="1">(E3*$T$2)/$S$2</f>
        <v>10610805.103130991</v>
      </c>
      <c r="O3" s="7">
        <f t="shared" si="0"/>
        <v>10515307.857202811</v>
      </c>
      <c r="P3" s="7">
        <f t="shared" si="0"/>
        <v>10642637.518440384</v>
      </c>
      <c r="Q3" s="7">
        <f t="shared" si="0"/>
        <v>11385393.875659555</v>
      </c>
    </row>
    <row r="4" spans="1:38" x14ac:dyDescent="0.25">
      <c r="A4" s="375">
        <v>6</v>
      </c>
      <c r="B4" t="s">
        <v>549</v>
      </c>
      <c r="C4" t="s">
        <v>1323</v>
      </c>
      <c r="D4" t="s">
        <v>1320</v>
      </c>
      <c r="E4" s="376">
        <v>0.79213585600000003</v>
      </c>
      <c r="F4" s="376">
        <v>0.78500663329599996</v>
      </c>
      <c r="G4" s="376">
        <v>0.79451226356799998</v>
      </c>
      <c r="H4" s="376">
        <v>0.84996177348799995</v>
      </c>
      <c r="I4" t="s">
        <v>1321</v>
      </c>
      <c r="N4" s="7">
        <f t="shared" si="1"/>
        <v>7653095.2988626203</v>
      </c>
      <c r="O4" s="7">
        <f t="shared" si="0"/>
        <v>7584217.4411728559</v>
      </c>
      <c r="P4" s="7">
        <f t="shared" si="0"/>
        <v>7676054.5847592074</v>
      </c>
      <c r="Q4" s="7">
        <f t="shared" si="0"/>
        <v>8211771.2556795906</v>
      </c>
      <c r="S4" t="s">
        <v>1324</v>
      </c>
      <c r="AB4" s="370" t="s">
        <v>1325</v>
      </c>
      <c r="AC4" s="370" t="s">
        <v>1326</v>
      </c>
      <c r="AD4" s="370" t="s">
        <v>1327</v>
      </c>
      <c r="AE4" s="1"/>
      <c r="AI4" s="1"/>
      <c r="AJ4" s="370"/>
      <c r="AK4" s="370"/>
      <c r="AL4" s="370"/>
    </row>
    <row r="5" spans="1:38" x14ac:dyDescent="0.25">
      <c r="A5" s="375">
        <v>6</v>
      </c>
      <c r="B5" t="s">
        <v>549</v>
      </c>
      <c r="C5" t="s">
        <v>1328</v>
      </c>
      <c r="D5" t="s">
        <v>1320</v>
      </c>
      <c r="E5" s="376">
        <v>1.3474896510000001</v>
      </c>
      <c r="F5" s="376">
        <v>1.335362244141</v>
      </c>
      <c r="G5" s="376">
        <v>1.3515321199529999</v>
      </c>
      <c r="H5" s="376">
        <v>1.4458563955229999</v>
      </c>
      <c r="I5" t="s">
        <v>1321</v>
      </c>
      <c r="N5" s="7">
        <f t="shared" si="1"/>
        <v>13018558.161738019</v>
      </c>
      <c r="O5" s="7">
        <f t="shared" si="0"/>
        <v>12901391.138282379</v>
      </c>
      <c r="P5" s="7">
        <f t="shared" si="0"/>
        <v>13057613.836223233</v>
      </c>
      <c r="Q5" s="7">
        <f t="shared" si="0"/>
        <v>13968912.907544894</v>
      </c>
      <c r="S5" s="377">
        <v>2022</v>
      </c>
      <c r="T5" s="378">
        <f>N47</f>
        <v>118490170.59787859</v>
      </c>
      <c r="AA5" t="s">
        <v>1329</v>
      </c>
      <c r="AB5" s="142">
        <v>2022</v>
      </c>
      <c r="AC5" s="379">
        <f>T5</f>
        <v>118490170.59787859</v>
      </c>
      <c r="AD5" s="418">
        <f>((AC5*$U$2)/1000)/1000000</f>
        <v>1.2074148383923831</v>
      </c>
      <c r="AJ5" s="380"/>
      <c r="AK5" s="380"/>
      <c r="AL5" s="380"/>
    </row>
    <row r="6" spans="1:38" x14ac:dyDescent="0.25">
      <c r="A6" s="375">
        <v>6</v>
      </c>
      <c r="B6" t="s">
        <v>549</v>
      </c>
      <c r="C6" t="s">
        <v>1330</v>
      </c>
      <c r="D6" t="s">
        <v>1320</v>
      </c>
      <c r="E6" s="376">
        <v>0.63816210500000004</v>
      </c>
      <c r="F6" s="376">
        <v>0.63241864605499998</v>
      </c>
      <c r="G6" s="376">
        <v>0.64007659131500005</v>
      </c>
      <c r="H6" s="376">
        <v>0.68474793866500006</v>
      </c>
      <c r="I6" t="s">
        <v>1321</v>
      </c>
      <c r="N6" s="7">
        <f t="shared" si="1"/>
        <v>6165502.2540575089</v>
      </c>
      <c r="O6" s="7">
        <f t="shared" si="0"/>
        <v>6110012.7337709907</v>
      </c>
      <c r="P6" s="7">
        <f t="shared" si="0"/>
        <v>6183998.7608196819</v>
      </c>
      <c r="Q6" s="7">
        <f t="shared" si="0"/>
        <v>6615583.9186037071</v>
      </c>
      <c r="S6" s="377">
        <v>2026</v>
      </c>
      <c r="T6" s="381">
        <f>O47</f>
        <v>117487184.61796677</v>
      </c>
      <c r="AA6" t="s">
        <v>1331</v>
      </c>
      <c r="AB6" s="142">
        <f>AB5+1</f>
        <v>2023</v>
      </c>
      <c r="AC6" s="382">
        <f>AC5+(AC9-AC5)*(AB6-AB5)/(AB9-AB5)</f>
        <v>118239424.10290064</v>
      </c>
      <c r="AD6" s="418">
        <f t="shared" ref="AD6:AD9" si="2">((AC6*$U$2)/1000)/1000000</f>
        <v>1.2048597316085574</v>
      </c>
      <c r="AE6" s="71"/>
      <c r="AJ6" s="380"/>
      <c r="AK6" s="380"/>
      <c r="AL6" s="380"/>
    </row>
    <row r="7" spans="1:38" x14ac:dyDescent="0.25">
      <c r="A7" s="375">
        <v>6</v>
      </c>
      <c r="B7" t="s">
        <v>549</v>
      </c>
      <c r="C7" t="s">
        <v>1332</v>
      </c>
      <c r="D7" t="s">
        <v>1320</v>
      </c>
      <c r="E7" s="376">
        <v>4.5175124999999997E-2</v>
      </c>
      <c r="F7" s="376">
        <v>4.4768548874999897E-2</v>
      </c>
      <c r="G7" s="376">
        <v>4.53106503749999E-2</v>
      </c>
      <c r="H7" s="376">
        <v>4.8472909124999901E-2</v>
      </c>
      <c r="I7" t="s">
        <v>1321</v>
      </c>
      <c r="N7" s="7">
        <f t="shared" si="1"/>
        <v>436452.32587859425</v>
      </c>
      <c r="O7" s="7">
        <f t="shared" si="0"/>
        <v>432524.25494568591</v>
      </c>
      <c r="P7" s="7">
        <f t="shared" si="0"/>
        <v>437761.68285622908</v>
      </c>
      <c r="Q7" s="7">
        <f t="shared" si="0"/>
        <v>468313.34566773067</v>
      </c>
      <c r="S7" s="2">
        <v>2032</v>
      </c>
      <c r="T7" s="383">
        <f>P47</f>
        <v>118903819.41317257</v>
      </c>
      <c r="AA7" t="s">
        <v>1331</v>
      </c>
      <c r="AB7" s="142">
        <f t="shared" ref="AB7:AB9" si="3">AB6+1</f>
        <v>2024</v>
      </c>
      <c r="AC7" s="382">
        <f>AC5+(AC9-AC5)*(AB7-AB5)/(AB9-AB5)</f>
        <v>117988677.60792267</v>
      </c>
      <c r="AD7" s="418">
        <f t="shared" si="2"/>
        <v>1.202304624824732</v>
      </c>
      <c r="AJ7" s="380"/>
      <c r="AK7" s="380"/>
      <c r="AL7" s="380"/>
    </row>
    <row r="8" spans="1:38" x14ac:dyDescent="0.25">
      <c r="A8" s="375">
        <v>6</v>
      </c>
      <c r="B8" t="s">
        <v>549</v>
      </c>
      <c r="C8" t="s">
        <v>1333</v>
      </c>
      <c r="D8" t="s">
        <v>1320</v>
      </c>
      <c r="E8" s="376">
        <v>0.161948973</v>
      </c>
      <c r="F8" s="376">
        <v>0.160491432243</v>
      </c>
      <c r="G8" s="376">
        <v>0.162434819919</v>
      </c>
      <c r="H8" s="376">
        <v>0.17377124802900001</v>
      </c>
      <c r="I8" t="s">
        <v>1321</v>
      </c>
      <c r="N8" s="7">
        <f t="shared" si="1"/>
        <v>1564644.3909009586</v>
      </c>
      <c r="O8" s="7">
        <f t="shared" si="0"/>
        <v>1550562.59138285</v>
      </c>
      <c r="P8" s="7">
        <f t="shared" si="0"/>
        <v>1569338.3240736616</v>
      </c>
      <c r="Q8" s="7">
        <f t="shared" si="0"/>
        <v>1678863.4314367287</v>
      </c>
      <c r="S8" s="2">
        <v>2038</v>
      </c>
      <c r="T8" s="383">
        <f>Q47</f>
        <v>127111266.0840252</v>
      </c>
      <c r="AA8" t="s">
        <v>1331</v>
      </c>
      <c r="AB8" s="142">
        <f t="shared" si="3"/>
        <v>2025</v>
      </c>
      <c r="AC8" s="382">
        <f>AC5+(AC9-AC5)*(AB8-AB5)/(AB9-AB5)</f>
        <v>117737931.11294472</v>
      </c>
      <c r="AD8" s="418">
        <f t="shared" si="2"/>
        <v>1.1997495180409066</v>
      </c>
      <c r="AJ8" s="380"/>
      <c r="AK8" s="380"/>
      <c r="AL8" s="380"/>
    </row>
    <row r="9" spans="1:38" x14ac:dyDescent="0.25">
      <c r="A9" s="375">
        <v>6</v>
      </c>
      <c r="B9" t="s">
        <v>549</v>
      </c>
      <c r="C9" t="s">
        <v>1334</v>
      </c>
      <c r="D9" t="s">
        <v>1320</v>
      </c>
      <c r="E9" s="376">
        <v>0.92105659200000001</v>
      </c>
      <c r="F9" s="376">
        <v>0.91276708267200002</v>
      </c>
      <c r="G9" s="376">
        <v>0.923819761776</v>
      </c>
      <c r="H9" s="376">
        <v>0.98829372321599995</v>
      </c>
      <c r="I9" t="s">
        <v>1321</v>
      </c>
      <c r="N9" s="7">
        <f t="shared" si="1"/>
        <v>8898642.601303516</v>
      </c>
      <c r="O9" s="7">
        <f t="shared" si="0"/>
        <v>8818554.817891784</v>
      </c>
      <c r="P9" s="7">
        <f t="shared" si="0"/>
        <v>8925338.5291074254</v>
      </c>
      <c r="Q9" s="7">
        <f t="shared" si="0"/>
        <v>9548243.5111986697</v>
      </c>
      <c r="AA9" t="s">
        <v>1329</v>
      </c>
      <c r="AB9" s="142">
        <f t="shared" si="3"/>
        <v>2026</v>
      </c>
      <c r="AC9" s="379">
        <f>T6</f>
        <v>117487184.61796677</v>
      </c>
      <c r="AD9" s="418">
        <f t="shared" si="2"/>
        <v>1.1971944112570811</v>
      </c>
      <c r="AJ9" s="380"/>
      <c r="AK9" s="380"/>
      <c r="AL9" s="380"/>
    </row>
    <row r="10" spans="1:38" x14ac:dyDescent="0.25">
      <c r="A10" s="375">
        <v>6</v>
      </c>
      <c r="B10" t="s">
        <v>549</v>
      </c>
      <c r="C10" t="s">
        <v>1335</v>
      </c>
      <c r="D10" t="s">
        <v>1320</v>
      </c>
      <c r="E10" s="376">
        <v>0.33379413600000002</v>
      </c>
      <c r="F10" s="376">
        <v>0.33078998877600002</v>
      </c>
      <c r="G10" s="376">
        <v>0.33479551840799998</v>
      </c>
      <c r="H10" s="376">
        <v>0.35816110792799999</v>
      </c>
      <c r="I10" t="s">
        <v>1321</v>
      </c>
      <c r="N10" s="7">
        <f t="shared" si="1"/>
        <v>3224899.2564345049</v>
      </c>
      <c r="O10" s="7">
        <f t="shared" si="0"/>
        <v>3195875.1631265944</v>
      </c>
      <c r="P10" s="7">
        <f t="shared" si="0"/>
        <v>3234573.9542038082</v>
      </c>
      <c r="Q10" s="7">
        <f t="shared" si="0"/>
        <v>3460316.9021542235</v>
      </c>
      <c r="AB10" s="142"/>
      <c r="AC10" s="142"/>
      <c r="AD10" s="142"/>
      <c r="AJ10" s="380"/>
      <c r="AK10" s="380"/>
      <c r="AL10" s="380"/>
    </row>
    <row r="11" spans="1:38" x14ac:dyDescent="0.25">
      <c r="A11" s="375">
        <v>6</v>
      </c>
      <c r="B11" t="s">
        <v>549</v>
      </c>
      <c r="C11" t="s">
        <v>1336</v>
      </c>
      <c r="D11" t="s">
        <v>1320</v>
      </c>
      <c r="E11" s="376">
        <v>0.25932640200000001</v>
      </c>
      <c r="F11" s="376">
        <v>0.25699246438200002</v>
      </c>
      <c r="G11" s="376">
        <v>0.26010438120599999</v>
      </c>
      <c r="H11" s="376">
        <v>0.278257229346</v>
      </c>
      <c r="I11" t="s">
        <v>1321</v>
      </c>
      <c r="N11" s="7">
        <f t="shared" si="1"/>
        <v>2505441.0212396169</v>
      </c>
      <c r="O11" s="7">
        <f t="shared" si="0"/>
        <v>2482892.0520484606</v>
      </c>
      <c r="P11" s="7">
        <f t="shared" si="0"/>
        <v>2512957.3443033355</v>
      </c>
      <c r="Q11" s="7">
        <f t="shared" si="0"/>
        <v>2688338.2157901088</v>
      </c>
      <c r="AB11" s="142"/>
      <c r="AC11" s="142"/>
      <c r="AD11" s="142"/>
      <c r="AJ11" s="380"/>
      <c r="AK11" s="380"/>
      <c r="AL11" s="380"/>
    </row>
    <row r="12" spans="1:38" x14ac:dyDescent="0.25">
      <c r="A12" s="375">
        <v>6</v>
      </c>
      <c r="B12" t="s">
        <v>549</v>
      </c>
      <c r="C12" t="s">
        <v>1337</v>
      </c>
      <c r="D12" t="s">
        <v>1320</v>
      </c>
      <c r="E12" s="376">
        <v>0.47023123999999999</v>
      </c>
      <c r="F12" s="376">
        <v>0.46599915883999998</v>
      </c>
      <c r="G12" s="376">
        <v>0.47164193372000002</v>
      </c>
      <c r="H12" s="376">
        <v>0.50455812052000004</v>
      </c>
      <c r="I12" t="s">
        <v>1321</v>
      </c>
      <c r="N12" s="7">
        <f t="shared" si="1"/>
        <v>4543064.7596166134</v>
      </c>
      <c r="O12" s="7">
        <f t="shared" si="0"/>
        <v>4502177.1767800637</v>
      </c>
      <c r="P12" s="7">
        <f t="shared" si="0"/>
        <v>4556693.9538954636</v>
      </c>
      <c r="Q12" s="7">
        <f t="shared" si="0"/>
        <v>4874708.4870686261</v>
      </c>
      <c r="AB12" s="142"/>
      <c r="AC12" s="142"/>
      <c r="AD12" s="142"/>
      <c r="AJ12" s="380"/>
      <c r="AK12" s="380"/>
      <c r="AL12" s="380"/>
    </row>
    <row r="13" spans="1:38" x14ac:dyDescent="0.25">
      <c r="A13" s="375">
        <v>6</v>
      </c>
      <c r="B13" t="s">
        <v>549</v>
      </c>
      <c r="C13" t="s">
        <v>1338</v>
      </c>
      <c r="D13" t="s">
        <v>1320</v>
      </c>
      <c r="E13" s="376">
        <v>1.6901058710000001</v>
      </c>
      <c r="F13" s="376">
        <v>1.674894918161</v>
      </c>
      <c r="G13" s="376">
        <v>1.6951761886129999</v>
      </c>
      <c r="H13" s="376">
        <v>1.8134835995830001</v>
      </c>
      <c r="I13" t="s">
        <v>1321</v>
      </c>
      <c r="N13" s="7">
        <f t="shared" si="1"/>
        <v>16328690.587552717</v>
      </c>
      <c r="O13" s="7">
        <f t="shared" si="0"/>
        <v>16181732.372264743</v>
      </c>
      <c r="P13" s="7">
        <f t="shared" si="0"/>
        <v>16377676.659315372</v>
      </c>
      <c r="Q13" s="7">
        <f t="shared" si="0"/>
        <v>17520685.000444066</v>
      </c>
      <c r="AB13" s="142"/>
      <c r="AC13" s="142"/>
      <c r="AD13" s="142"/>
      <c r="AJ13" s="380"/>
      <c r="AK13" s="380"/>
      <c r="AL13" s="380"/>
    </row>
    <row r="14" spans="1:38" x14ac:dyDescent="0.25">
      <c r="A14" s="375">
        <v>6</v>
      </c>
      <c r="B14" t="s">
        <v>549</v>
      </c>
      <c r="C14" t="s">
        <v>1339</v>
      </c>
      <c r="D14" t="s">
        <v>1320</v>
      </c>
      <c r="E14" s="376">
        <v>0.35589524500000003</v>
      </c>
      <c r="F14" s="376">
        <v>0.352692187795</v>
      </c>
      <c r="G14" s="376">
        <v>0.35696293073500002</v>
      </c>
      <c r="H14" s="376">
        <v>0.38187559788499997</v>
      </c>
      <c r="I14" t="s">
        <v>1321</v>
      </c>
      <c r="N14" s="7">
        <f t="shared" si="1"/>
        <v>3438425.6258146968</v>
      </c>
      <c r="O14" s="7">
        <f t="shared" si="0"/>
        <v>3407479.7951823645</v>
      </c>
      <c r="P14" s="7">
        <f t="shared" si="0"/>
        <v>3448740.902692141</v>
      </c>
      <c r="Q14" s="7">
        <f t="shared" si="0"/>
        <v>3689430.6964991693</v>
      </c>
      <c r="AB14" s="142"/>
      <c r="AC14" s="142"/>
      <c r="AD14" s="142"/>
      <c r="AJ14" s="380"/>
      <c r="AK14" s="380"/>
      <c r="AL14" s="380"/>
    </row>
    <row r="15" spans="1:38" x14ac:dyDescent="0.25">
      <c r="A15" s="375">
        <v>6</v>
      </c>
      <c r="B15" t="s">
        <v>549</v>
      </c>
      <c r="C15" t="s">
        <v>1340</v>
      </c>
      <c r="D15" t="s">
        <v>1320</v>
      </c>
      <c r="E15" s="376">
        <v>0.26253895199999999</v>
      </c>
      <c r="F15" s="376">
        <v>0.26017610143199998</v>
      </c>
      <c r="G15" s="376">
        <v>0.26332656885599998</v>
      </c>
      <c r="H15" s="376">
        <v>0.28170429549600001</v>
      </c>
      <c r="I15" t="s">
        <v>1321</v>
      </c>
      <c r="N15" s="7">
        <f t="shared" si="1"/>
        <v>2536478.5650095847</v>
      </c>
      <c r="O15" s="7">
        <f t="shared" si="0"/>
        <v>2513650.2579244985</v>
      </c>
      <c r="P15" s="7">
        <f t="shared" si="0"/>
        <v>2544088.0007046135</v>
      </c>
      <c r="Q15" s="7">
        <f t="shared" si="0"/>
        <v>2721641.5002552844</v>
      </c>
      <c r="AB15" s="142"/>
      <c r="AC15" s="142"/>
      <c r="AD15" s="142"/>
      <c r="AJ15" s="380"/>
      <c r="AK15" s="380"/>
      <c r="AL15" s="380"/>
    </row>
    <row r="16" spans="1:38" x14ac:dyDescent="0.25">
      <c r="A16" s="375">
        <v>6</v>
      </c>
      <c r="B16" t="s">
        <v>549</v>
      </c>
      <c r="C16" t="s">
        <v>1341</v>
      </c>
      <c r="D16" t="s">
        <v>1320</v>
      </c>
      <c r="E16" s="376">
        <v>0.29149877200000002</v>
      </c>
      <c r="F16" s="376">
        <v>0.288875283052</v>
      </c>
      <c r="G16" s="376">
        <v>0.29237326831600002</v>
      </c>
      <c r="H16" s="376">
        <v>0.31277818235600002</v>
      </c>
      <c r="I16" t="s">
        <v>1321</v>
      </c>
      <c r="N16" s="7">
        <f t="shared" si="1"/>
        <v>2816269.2860319493</v>
      </c>
      <c r="O16" s="7">
        <f t="shared" si="0"/>
        <v>2790922.8624576614</v>
      </c>
      <c r="P16" s="7">
        <f t="shared" si="0"/>
        <v>2824718.0938900453</v>
      </c>
      <c r="Q16" s="7">
        <f t="shared" si="0"/>
        <v>3021856.9439122812</v>
      </c>
      <c r="AB16" s="142"/>
      <c r="AC16" s="142"/>
      <c r="AD16" s="142"/>
      <c r="AJ16" s="380"/>
      <c r="AK16" s="380"/>
      <c r="AL16" s="380"/>
    </row>
    <row r="17" spans="1:38" x14ac:dyDescent="0.25">
      <c r="A17" s="375">
        <v>6</v>
      </c>
      <c r="B17" t="s">
        <v>549</v>
      </c>
      <c r="C17" t="s">
        <v>1342</v>
      </c>
      <c r="D17" t="s">
        <v>1320</v>
      </c>
      <c r="E17" s="376">
        <v>8.2789141999999996E-2</v>
      </c>
      <c r="F17" s="376">
        <v>8.2044039722000001E-2</v>
      </c>
      <c r="G17" s="376">
        <v>8.3037509425999897E-2</v>
      </c>
      <c r="H17" s="376">
        <v>8.8832749365999997E-2</v>
      </c>
      <c r="I17" t="s">
        <v>1321</v>
      </c>
      <c r="N17" s="7">
        <f t="shared" si="1"/>
        <v>799854.20258146967</v>
      </c>
      <c r="O17" s="7">
        <f t="shared" si="0"/>
        <v>792655.51475823647</v>
      </c>
      <c r="P17" s="7">
        <f t="shared" si="0"/>
        <v>802253.76518921298</v>
      </c>
      <c r="Q17" s="7">
        <f t="shared" si="0"/>
        <v>858243.55936991703</v>
      </c>
      <c r="AB17" s="142"/>
      <c r="AC17" s="142"/>
      <c r="AD17" s="142"/>
      <c r="AJ17" s="380"/>
      <c r="AK17" s="380"/>
      <c r="AL17" s="380"/>
    </row>
    <row r="18" spans="1:38" x14ac:dyDescent="0.25">
      <c r="A18" s="375">
        <v>6</v>
      </c>
      <c r="B18" t="s">
        <v>549</v>
      </c>
      <c r="C18" t="s">
        <v>1343</v>
      </c>
      <c r="D18" t="s">
        <v>1320</v>
      </c>
      <c r="E18" s="376">
        <v>0.32062417700000001</v>
      </c>
      <c r="F18" s="376">
        <v>0.31773855940700002</v>
      </c>
      <c r="G18" s="376">
        <v>0.32158604953100001</v>
      </c>
      <c r="H18" s="376">
        <v>0.344029741921</v>
      </c>
      <c r="I18" t="s">
        <v>1321</v>
      </c>
      <c r="N18" s="7">
        <f t="shared" si="1"/>
        <v>3097659.7803450483</v>
      </c>
      <c r="O18" s="7">
        <f t="shared" si="1"/>
        <v>3069780.842321943</v>
      </c>
      <c r="P18" s="7">
        <f t="shared" si="1"/>
        <v>3106952.7596860831</v>
      </c>
      <c r="Q18" s="7">
        <f t="shared" si="1"/>
        <v>3323788.9443102367</v>
      </c>
      <c r="AB18" s="142"/>
      <c r="AC18" s="142"/>
      <c r="AD18" s="142"/>
      <c r="AJ18" s="380"/>
      <c r="AK18" s="380"/>
      <c r="AL18" s="380"/>
    </row>
    <row r="19" spans="1:38" x14ac:dyDescent="0.25">
      <c r="A19" s="375">
        <v>6</v>
      </c>
      <c r="B19" t="s">
        <v>549</v>
      </c>
      <c r="C19" t="s">
        <v>1344</v>
      </c>
      <c r="D19" t="s">
        <v>1320</v>
      </c>
      <c r="E19" s="376">
        <v>1.5144201639999999</v>
      </c>
      <c r="F19" s="376">
        <v>1.5007903825240001</v>
      </c>
      <c r="G19" s="376">
        <v>1.5189634244920001</v>
      </c>
      <c r="H19" s="376">
        <v>1.6249728359719999</v>
      </c>
      <c r="I19" t="s">
        <v>1321</v>
      </c>
      <c r="N19" s="7">
        <f t="shared" si="1"/>
        <v>14631330.913533546</v>
      </c>
      <c r="O19" s="7">
        <f t="shared" si="1"/>
        <v>14499648.935311746</v>
      </c>
      <c r="P19" s="7">
        <f t="shared" si="1"/>
        <v>14675224.906274147</v>
      </c>
      <c r="Q19" s="7">
        <f t="shared" si="1"/>
        <v>15699418.070221495</v>
      </c>
      <c r="AB19" s="142"/>
      <c r="AC19" s="142"/>
      <c r="AD19" s="142"/>
      <c r="AJ19" s="380"/>
      <c r="AK19" s="380"/>
      <c r="AL19" s="380"/>
    </row>
    <row r="20" spans="1:38" x14ac:dyDescent="0.25">
      <c r="A20" s="375">
        <v>6</v>
      </c>
      <c r="B20" t="s">
        <v>549</v>
      </c>
      <c r="C20" t="s">
        <v>1345</v>
      </c>
      <c r="D20" t="s">
        <v>1320</v>
      </c>
      <c r="E20" s="376">
        <v>0.123721151</v>
      </c>
      <c r="F20" s="376">
        <v>0.122607660641</v>
      </c>
      <c r="G20" s="376">
        <v>0.12409231445299999</v>
      </c>
      <c r="H20" s="376">
        <v>0.132752795023</v>
      </c>
      <c r="I20" t="s">
        <v>1321</v>
      </c>
      <c r="N20" s="7">
        <f t="shared" si="1"/>
        <v>1195312.3342619808</v>
      </c>
      <c r="O20" s="7">
        <f t="shared" si="1"/>
        <v>1184554.5232536229</v>
      </c>
      <c r="P20" s="7">
        <f t="shared" si="1"/>
        <v>1198898.2712647668</v>
      </c>
      <c r="Q20" s="7">
        <f t="shared" si="1"/>
        <v>1282570.1346631055</v>
      </c>
      <c r="AB20" s="142"/>
      <c r="AC20" s="142"/>
      <c r="AD20" s="142"/>
      <c r="AJ20" s="380"/>
      <c r="AK20" s="380"/>
      <c r="AL20" s="380"/>
    </row>
    <row r="21" spans="1:38" x14ac:dyDescent="0.25">
      <c r="A21" s="375">
        <v>6</v>
      </c>
      <c r="B21" t="s">
        <v>549</v>
      </c>
      <c r="C21" t="s">
        <v>1346</v>
      </c>
      <c r="D21" t="s">
        <v>1320</v>
      </c>
      <c r="E21" s="376">
        <v>1.1284625230000001</v>
      </c>
      <c r="F21" s="376">
        <v>1.1183063602929999</v>
      </c>
      <c r="G21" s="376">
        <v>1.131847910569</v>
      </c>
      <c r="H21" s="376">
        <v>1.2108402871790001</v>
      </c>
      <c r="I21" t="s">
        <v>1321</v>
      </c>
      <c r="N21" s="7">
        <f t="shared" si="1"/>
        <v>10902462.203041535</v>
      </c>
      <c r="O21" s="7">
        <f t="shared" si="1"/>
        <v>10804340.043214159</v>
      </c>
      <c r="P21" s="7">
        <f t="shared" si="1"/>
        <v>10935169.589650659</v>
      </c>
      <c r="Q21" s="7">
        <f t="shared" si="1"/>
        <v>11698341.943863567</v>
      </c>
      <c r="AB21" s="142"/>
      <c r="AC21" s="142"/>
      <c r="AD21" s="142"/>
      <c r="AJ21" s="380"/>
      <c r="AK21" s="380"/>
      <c r="AL21" s="380"/>
    </row>
    <row r="22" spans="1:38" x14ac:dyDescent="0.25">
      <c r="A22" s="375">
        <v>6</v>
      </c>
      <c r="B22" t="s">
        <v>549</v>
      </c>
      <c r="C22" t="s">
        <v>1330</v>
      </c>
      <c r="D22" t="s">
        <v>1320</v>
      </c>
      <c r="E22" s="376">
        <v>5.2257179999999999E-3</v>
      </c>
      <c r="F22" s="376">
        <v>5.0114635619998996E-3</v>
      </c>
      <c r="G22" s="376">
        <v>4.8546920219999998E-3</v>
      </c>
      <c r="H22" s="376">
        <v>4.9748835359999998E-3</v>
      </c>
      <c r="I22" t="s">
        <v>1347</v>
      </c>
      <c r="N22" s="7">
        <f t="shared" si="1"/>
        <v>50487.448025559104</v>
      </c>
      <c r="O22" s="7">
        <f t="shared" si="1"/>
        <v>48417.462656510215</v>
      </c>
      <c r="P22" s="7">
        <f t="shared" si="1"/>
        <v>46902.839215744403</v>
      </c>
      <c r="Q22" s="7">
        <f t="shared" si="1"/>
        <v>48064.050520332268</v>
      </c>
      <c r="AB22" s="142"/>
      <c r="AC22" s="142"/>
      <c r="AD22" s="142"/>
      <c r="AJ22" s="380"/>
      <c r="AK22" s="380"/>
      <c r="AL22" s="380"/>
    </row>
    <row r="23" spans="1:38" x14ac:dyDescent="0.25">
      <c r="A23" s="375">
        <v>6</v>
      </c>
      <c r="B23" t="s">
        <v>549</v>
      </c>
      <c r="C23" t="s">
        <v>1333</v>
      </c>
      <c r="D23" t="s">
        <v>1320</v>
      </c>
      <c r="E23" s="376">
        <v>1.1407842E-2</v>
      </c>
      <c r="F23" s="376">
        <v>1.0940120478E-2</v>
      </c>
      <c r="G23" s="376">
        <v>1.0597885218E-2</v>
      </c>
      <c r="H23" s="376">
        <v>1.08602655839999E-2</v>
      </c>
      <c r="I23" t="s">
        <v>1347</v>
      </c>
      <c r="N23" s="7">
        <f t="shared" si="1"/>
        <v>110215.06136741214</v>
      </c>
      <c r="O23" s="7">
        <f t="shared" si="1"/>
        <v>105696.24385134825</v>
      </c>
      <c r="P23" s="7">
        <f t="shared" si="1"/>
        <v>102389.79201032588</v>
      </c>
      <c r="Q23" s="7">
        <f t="shared" si="1"/>
        <v>104924.7384217754</v>
      </c>
      <c r="AB23" s="142"/>
      <c r="AC23" s="142"/>
      <c r="AD23" s="142"/>
      <c r="AJ23" s="380"/>
      <c r="AK23" s="380"/>
      <c r="AL23" s="380"/>
    </row>
    <row r="24" spans="1:38" x14ac:dyDescent="0.25">
      <c r="A24" s="375">
        <v>6</v>
      </c>
      <c r="B24" t="s">
        <v>549</v>
      </c>
      <c r="C24" t="s">
        <v>1335</v>
      </c>
      <c r="D24" t="s">
        <v>1320</v>
      </c>
      <c r="E24" s="376">
        <v>1.831433E-2</v>
      </c>
      <c r="F24" s="376">
        <v>1.7563442469999999E-2</v>
      </c>
      <c r="G24" s="376">
        <v>1.7014012570000001E-2</v>
      </c>
      <c r="H24" s="376">
        <v>1.7435242159999999E-2</v>
      </c>
      <c r="I24" t="s">
        <v>1347</v>
      </c>
      <c r="N24" s="7">
        <f t="shared" si="1"/>
        <v>176941.00293929712</v>
      </c>
      <c r="O24" s="7">
        <f t="shared" si="1"/>
        <v>169686.42181878595</v>
      </c>
      <c r="P24" s="7">
        <f t="shared" si="1"/>
        <v>164378.19173060704</v>
      </c>
      <c r="Q24" s="7">
        <f t="shared" si="1"/>
        <v>168447.83479821085</v>
      </c>
      <c r="AB24" s="142"/>
      <c r="AC24" s="142"/>
      <c r="AD24" s="142"/>
    </row>
    <row r="25" spans="1:38" x14ac:dyDescent="0.25">
      <c r="A25" s="375">
        <v>6</v>
      </c>
      <c r="B25" t="s">
        <v>549</v>
      </c>
      <c r="C25" t="s">
        <v>1348</v>
      </c>
      <c r="D25" t="s">
        <v>1320</v>
      </c>
      <c r="E25" s="376">
        <v>2.6548021000000002E-2</v>
      </c>
      <c r="F25" s="376">
        <v>2.5459552138999999E-2</v>
      </c>
      <c r="G25" s="376">
        <v>2.4663111509E-2</v>
      </c>
      <c r="H25" s="376">
        <v>2.5273715992000002E-2</v>
      </c>
      <c r="I25" t="s">
        <v>1347</v>
      </c>
      <c r="N25" s="7">
        <f t="shared" si="1"/>
        <v>256489.50640255594</v>
      </c>
      <c r="O25" s="7">
        <f t="shared" si="1"/>
        <v>245973.43664005114</v>
      </c>
      <c r="P25" s="7">
        <f t="shared" si="1"/>
        <v>238278.75144797447</v>
      </c>
      <c r="Q25" s="7">
        <f t="shared" si="1"/>
        <v>244178.01009523324</v>
      </c>
      <c r="AB25" s="142"/>
      <c r="AC25" s="142"/>
      <c r="AD25" s="142"/>
    </row>
    <row r="26" spans="1:38" x14ac:dyDescent="0.25">
      <c r="A26" s="375">
        <v>6</v>
      </c>
      <c r="B26" t="s">
        <v>549</v>
      </c>
      <c r="C26" t="s">
        <v>1337</v>
      </c>
      <c r="D26" t="s">
        <v>1320</v>
      </c>
      <c r="E26" s="376">
        <v>2.1664256999999999E-2</v>
      </c>
      <c r="F26" s="376">
        <v>2.07760224629999E-2</v>
      </c>
      <c r="G26" s="376">
        <v>2.0126094753E-2</v>
      </c>
      <c r="H26" s="376">
        <v>2.0624372663999999E-2</v>
      </c>
      <c r="I26" t="s">
        <v>1347</v>
      </c>
      <c r="N26" s="7">
        <f t="shared" si="1"/>
        <v>209305.79286900957</v>
      </c>
      <c r="O26" s="7">
        <f t="shared" si="1"/>
        <v>200724.25536137924</v>
      </c>
      <c r="P26" s="7">
        <f t="shared" si="1"/>
        <v>194445.08157530992</v>
      </c>
      <c r="Q26" s="7">
        <f t="shared" si="1"/>
        <v>199259.11481129713</v>
      </c>
      <c r="AB26" s="142"/>
      <c r="AC26" s="142"/>
      <c r="AD26" s="142"/>
    </row>
    <row r="27" spans="1:38" x14ac:dyDescent="0.25">
      <c r="A27" s="375">
        <v>6</v>
      </c>
      <c r="B27" t="s">
        <v>549</v>
      </c>
      <c r="C27" t="s">
        <v>1349</v>
      </c>
      <c r="D27" t="s">
        <v>1320</v>
      </c>
      <c r="E27" s="376">
        <v>1.0409293E-2</v>
      </c>
      <c r="F27" s="376">
        <v>9.9825119870000003E-3</v>
      </c>
      <c r="G27" s="376">
        <v>9.6702331969999999E-3</v>
      </c>
      <c r="H27" s="376">
        <v>9.9096469359999002E-3</v>
      </c>
      <c r="I27" t="s">
        <v>1347</v>
      </c>
      <c r="N27" s="7">
        <f t="shared" si="1"/>
        <v>100567.73812140574</v>
      </c>
      <c r="O27" s="7">
        <f t="shared" si="1"/>
        <v>96444.460858428109</v>
      </c>
      <c r="P27" s="7">
        <f t="shared" si="1"/>
        <v>93427.428714785943</v>
      </c>
      <c r="Q27" s="7">
        <f t="shared" si="1"/>
        <v>95740.486691577316</v>
      </c>
      <c r="AB27" s="142"/>
      <c r="AC27" s="142"/>
      <c r="AD27" s="142"/>
    </row>
    <row r="28" spans="1:38" x14ac:dyDescent="0.25">
      <c r="A28" s="375">
        <v>6</v>
      </c>
      <c r="B28" t="s">
        <v>549</v>
      </c>
      <c r="C28" t="s">
        <v>1350</v>
      </c>
      <c r="D28" t="s">
        <v>1320</v>
      </c>
      <c r="E28" s="376">
        <v>4.4311020000000001E-3</v>
      </c>
      <c r="F28" s="376">
        <v>4.834332282E-3</v>
      </c>
      <c r="G28" s="376">
        <v>5.1622338299999997E-3</v>
      </c>
      <c r="H28" s="376">
        <v>5.4989975819999997E-3</v>
      </c>
      <c r="I28" t="s">
        <v>1351</v>
      </c>
      <c r="N28" s="7">
        <f t="shared" si="1"/>
        <v>42810.39120766773</v>
      </c>
      <c r="O28" s="7">
        <f t="shared" si="1"/>
        <v>46706.136807565497</v>
      </c>
      <c r="P28" s="7">
        <f t="shared" si="1"/>
        <v>49874.105756932906</v>
      </c>
      <c r="Q28" s="7">
        <f t="shared" si="1"/>
        <v>53127.695488715653</v>
      </c>
      <c r="AB28" s="142"/>
      <c r="AC28" s="142"/>
      <c r="AD28" s="142"/>
    </row>
    <row r="29" spans="1:38" x14ac:dyDescent="0.25">
      <c r="A29" s="375">
        <v>6</v>
      </c>
      <c r="B29" t="s">
        <v>549</v>
      </c>
      <c r="C29" t="s">
        <v>1322</v>
      </c>
      <c r="D29" t="s">
        <v>1320</v>
      </c>
      <c r="E29" s="376">
        <v>9.6686930000000008E-3</v>
      </c>
      <c r="F29" s="376">
        <v>1.0548544062999999E-2</v>
      </c>
      <c r="G29" s="376">
        <v>1.1264027345E-2</v>
      </c>
      <c r="H29" s="376">
        <v>1.1998848013E-2</v>
      </c>
      <c r="I29" t="s">
        <v>1351</v>
      </c>
      <c r="N29" s="7">
        <f t="shared" si="1"/>
        <v>93412.548345047937</v>
      </c>
      <c r="O29" s="7">
        <f t="shared" si="1"/>
        <v>101913.09024444727</v>
      </c>
      <c r="P29" s="7">
        <f t="shared" si="1"/>
        <v>108825.61882198084</v>
      </c>
      <c r="Q29" s="7">
        <f t="shared" si="1"/>
        <v>115924.97249620447</v>
      </c>
      <c r="AB29" s="142"/>
      <c r="AC29" s="142"/>
      <c r="AD29" s="142"/>
    </row>
    <row r="30" spans="1:38" x14ac:dyDescent="0.25">
      <c r="A30" s="375">
        <v>6</v>
      </c>
      <c r="B30" t="s">
        <v>549</v>
      </c>
      <c r="C30" t="s">
        <v>1352</v>
      </c>
      <c r="D30" t="s">
        <v>1320</v>
      </c>
      <c r="E30" s="376">
        <v>9.4850230000000004E-3</v>
      </c>
      <c r="F30" s="376">
        <v>1.0348160093E-2</v>
      </c>
      <c r="G30" s="376">
        <v>1.1050051795E-2</v>
      </c>
      <c r="H30" s="376">
        <v>1.1770913543E-2</v>
      </c>
      <c r="I30" t="s">
        <v>1351</v>
      </c>
      <c r="N30" s="7">
        <f t="shared" si="1"/>
        <v>91638.049686900966</v>
      </c>
      <c r="O30" s="7">
        <f t="shared" si="1"/>
        <v>99977.112208408944</v>
      </c>
      <c r="P30" s="7">
        <f t="shared" si="1"/>
        <v>106758.32788523962</v>
      </c>
      <c r="Q30" s="7">
        <f t="shared" si="1"/>
        <v>113722.81966144408</v>
      </c>
      <c r="AB30" s="142"/>
      <c r="AC30" s="142"/>
      <c r="AD30" s="142"/>
    </row>
    <row r="31" spans="1:38" x14ac:dyDescent="0.25">
      <c r="A31" s="375">
        <v>6</v>
      </c>
      <c r="B31" t="s">
        <v>549</v>
      </c>
      <c r="C31" t="s">
        <v>1330</v>
      </c>
      <c r="D31" t="s">
        <v>1320</v>
      </c>
      <c r="E31" s="376">
        <v>1.9703400999999999E-2</v>
      </c>
      <c r="F31" s="376">
        <v>2.1496410490999901E-2</v>
      </c>
      <c r="G31" s="376">
        <v>2.2954462164999901E-2</v>
      </c>
      <c r="H31" s="376">
        <v>2.4451920641000002E-2</v>
      </c>
      <c r="I31" t="s">
        <v>1351</v>
      </c>
      <c r="N31" s="7">
        <f t="shared" si="1"/>
        <v>190361.29272843449</v>
      </c>
      <c r="O31" s="7">
        <f t="shared" si="1"/>
        <v>207684.17036672108</v>
      </c>
      <c r="P31" s="7">
        <f t="shared" si="1"/>
        <v>221770.90602862524</v>
      </c>
      <c r="Q31" s="7">
        <f t="shared" si="1"/>
        <v>236238.36427598723</v>
      </c>
      <c r="AB31" s="142"/>
      <c r="AC31" s="142"/>
      <c r="AD31" s="142"/>
    </row>
    <row r="32" spans="1:38" x14ac:dyDescent="0.25">
      <c r="A32" s="375">
        <v>6</v>
      </c>
      <c r="B32" t="s">
        <v>549</v>
      </c>
      <c r="C32" t="s">
        <v>1333</v>
      </c>
      <c r="D32" t="s">
        <v>1320</v>
      </c>
      <c r="E32" s="376">
        <v>6.6302690000000003E-3</v>
      </c>
      <c r="F32" s="376">
        <v>7.233623479E-3</v>
      </c>
      <c r="G32" s="376">
        <v>7.7242633850000001E-3</v>
      </c>
      <c r="H32" s="376">
        <v>8.2281638290000007E-3</v>
      </c>
      <c r="I32" t="s">
        <v>1351</v>
      </c>
      <c r="N32" s="7">
        <f t="shared" si="1"/>
        <v>64057.295386581478</v>
      </c>
      <c r="O32" s="7">
        <f t="shared" si="1"/>
        <v>69886.509266760389</v>
      </c>
      <c r="P32" s="7">
        <f t="shared" si="1"/>
        <v>74626.749125367409</v>
      </c>
      <c r="Q32" s="7">
        <f t="shared" si="1"/>
        <v>79495.103574747613</v>
      </c>
      <c r="AB32" s="142"/>
      <c r="AC32" s="142"/>
      <c r="AD32" s="142"/>
    </row>
    <row r="33" spans="1:30" x14ac:dyDescent="0.25">
      <c r="A33" s="375">
        <v>6</v>
      </c>
      <c r="B33" t="s">
        <v>549</v>
      </c>
      <c r="C33" t="s">
        <v>1335</v>
      </c>
      <c r="D33" t="s">
        <v>1320</v>
      </c>
      <c r="E33" s="376">
        <v>1.2046436000000001E-2</v>
      </c>
      <c r="F33" s="376">
        <v>1.3142661676000001E-2</v>
      </c>
      <c r="G33" s="376">
        <v>1.403409794E-2</v>
      </c>
      <c r="H33" s="376">
        <v>1.4949627076E-2</v>
      </c>
      <c r="I33" t="s">
        <v>1351</v>
      </c>
      <c r="N33" s="7">
        <f t="shared" si="1"/>
        <v>116384.73630670928</v>
      </c>
      <c r="O33" s="7">
        <f t="shared" si="1"/>
        <v>126975.74731061983</v>
      </c>
      <c r="P33" s="7">
        <f t="shared" si="1"/>
        <v>135588.21779731629</v>
      </c>
      <c r="Q33" s="7">
        <f t="shared" si="1"/>
        <v>144433.45775662619</v>
      </c>
      <c r="AB33" s="142"/>
      <c r="AC33" s="142"/>
      <c r="AD33" s="142"/>
    </row>
    <row r="34" spans="1:30" x14ac:dyDescent="0.25">
      <c r="A34" s="375">
        <v>6</v>
      </c>
      <c r="B34" t="s">
        <v>549</v>
      </c>
      <c r="C34" t="s">
        <v>1337</v>
      </c>
      <c r="D34" t="s">
        <v>1320</v>
      </c>
      <c r="E34" s="376">
        <v>1.8296988E-2</v>
      </c>
      <c r="F34" s="376">
        <v>1.9962013907999999E-2</v>
      </c>
      <c r="G34" s="376">
        <v>2.1315991020000001E-2</v>
      </c>
      <c r="H34" s="376">
        <v>2.2706562108000001E-2</v>
      </c>
      <c r="I34" t="s">
        <v>1351</v>
      </c>
      <c r="N34" s="7">
        <f t="shared" si="1"/>
        <v>176773.4559488818</v>
      </c>
      <c r="O34" s="7">
        <f t="shared" si="1"/>
        <v>192859.84044023004</v>
      </c>
      <c r="P34" s="7">
        <f t="shared" si="1"/>
        <v>205941.0761804473</v>
      </c>
      <c r="Q34" s="7">
        <f t="shared" si="1"/>
        <v>219375.85883256231</v>
      </c>
    </row>
    <row r="35" spans="1:30" x14ac:dyDescent="0.25">
      <c r="A35" s="375">
        <v>6</v>
      </c>
      <c r="B35" t="s">
        <v>549</v>
      </c>
      <c r="C35" t="s">
        <v>1338</v>
      </c>
      <c r="D35" t="s">
        <v>1320</v>
      </c>
      <c r="E35" s="376">
        <v>1.4814581E-2</v>
      </c>
      <c r="F35" s="376">
        <v>1.6162707871E-2</v>
      </c>
      <c r="G35" s="376">
        <v>1.7258986864999999E-2</v>
      </c>
      <c r="H35" s="376">
        <v>1.8384895020999999E-2</v>
      </c>
      <c r="I35" t="s">
        <v>1351</v>
      </c>
      <c r="N35" s="7">
        <f t="shared" si="1"/>
        <v>143128.73145047924</v>
      </c>
      <c r="O35" s="7">
        <f t="shared" si="1"/>
        <v>156153.44601247285</v>
      </c>
      <c r="P35" s="7">
        <f t="shared" si="1"/>
        <v>166744.97213980829</v>
      </c>
      <c r="Q35" s="7">
        <f t="shared" si="1"/>
        <v>177622.75573004471</v>
      </c>
    </row>
    <row r="36" spans="1:30" x14ac:dyDescent="0.25">
      <c r="A36" s="375">
        <v>6</v>
      </c>
      <c r="B36" t="s">
        <v>549</v>
      </c>
      <c r="C36" t="s">
        <v>1353</v>
      </c>
      <c r="D36" t="s">
        <v>1320</v>
      </c>
      <c r="E36" s="376">
        <v>6.6831099999999999E-3</v>
      </c>
      <c r="F36" s="376">
        <v>7.29127301E-3</v>
      </c>
      <c r="G36" s="376">
        <v>7.7858231500000001E-3</v>
      </c>
      <c r="H36" s="376">
        <v>8.2937395100000002E-3</v>
      </c>
      <c r="I36" t="s">
        <v>1351</v>
      </c>
      <c r="N36" s="7">
        <f t="shared" si="1"/>
        <v>64567.810351437707</v>
      </c>
      <c r="O36" s="7">
        <f t="shared" si="1"/>
        <v>70443.481093418537</v>
      </c>
      <c r="P36" s="7">
        <f t="shared" si="1"/>
        <v>75221.499059424925</v>
      </c>
      <c r="Q36" s="7">
        <f t="shared" si="1"/>
        <v>80128.652646134185</v>
      </c>
    </row>
    <row r="37" spans="1:30" x14ac:dyDescent="0.25">
      <c r="A37" s="375">
        <v>6</v>
      </c>
      <c r="B37" t="s">
        <v>549</v>
      </c>
      <c r="C37" t="s">
        <v>1354</v>
      </c>
      <c r="D37" t="s">
        <v>1320</v>
      </c>
      <c r="E37" s="376">
        <v>1.1185116E-2</v>
      </c>
      <c r="F37" s="376">
        <v>1.2202961556E-2</v>
      </c>
      <c r="G37" s="376">
        <v>1.3030660140000001E-2</v>
      </c>
      <c r="H37" s="376">
        <v>1.3880728956E-2</v>
      </c>
      <c r="I37" t="s">
        <v>1351</v>
      </c>
      <c r="N37" s="7">
        <f t="shared" si="1"/>
        <v>108063.22934185303</v>
      </c>
      <c r="O37" s="7">
        <f t="shared" si="1"/>
        <v>117896.98321196166</v>
      </c>
      <c r="P37" s="7">
        <f t="shared" si="1"/>
        <v>125893.66218325878</v>
      </c>
      <c r="Q37" s="7">
        <f t="shared" si="1"/>
        <v>134106.46761323963</v>
      </c>
    </row>
    <row r="38" spans="1:30" x14ac:dyDescent="0.25">
      <c r="A38" s="375">
        <v>6</v>
      </c>
      <c r="B38" t="s">
        <v>549</v>
      </c>
      <c r="C38" t="s">
        <v>1355</v>
      </c>
      <c r="D38" t="s">
        <v>1320</v>
      </c>
      <c r="E38" s="376">
        <v>5.0892239999999998E-3</v>
      </c>
      <c r="F38" s="376">
        <v>5.5523433839999997E-3</v>
      </c>
      <c r="G38" s="376">
        <v>5.9289459600000002E-3</v>
      </c>
      <c r="H38" s="376">
        <v>6.3157269840000002E-3</v>
      </c>
      <c r="I38" t="s">
        <v>1351</v>
      </c>
      <c r="N38" s="7">
        <f t="shared" si="1"/>
        <v>49168.732830670924</v>
      </c>
      <c r="O38" s="7">
        <f t="shared" si="1"/>
        <v>53643.087518261978</v>
      </c>
      <c r="P38" s="7">
        <f t="shared" si="1"/>
        <v>57281.573747731629</v>
      </c>
      <c r="Q38" s="7">
        <f t="shared" si="1"/>
        <v>61018.397442862617</v>
      </c>
    </row>
    <row r="39" spans="1:30" x14ac:dyDescent="0.25">
      <c r="A39" s="375">
        <v>6</v>
      </c>
      <c r="B39" t="s">
        <v>549</v>
      </c>
      <c r="C39" t="s">
        <v>1356</v>
      </c>
      <c r="D39" t="s">
        <v>1320</v>
      </c>
      <c r="E39" s="376">
        <v>6.4462460000000001E-3</v>
      </c>
      <c r="F39" s="376">
        <v>7.032854386E-3</v>
      </c>
      <c r="G39" s="376">
        <v>7.5098765899999998E-3</v>
      </c>
      <c r="H39" s="376">
        <v>7.9997912860000006E-3</v>
      </c>
      <c r="I39" t="s">
        <v>1351</v>
      </c>
      <c r="N39" s="7">
        <f t="shared" si="1"/>
        <v>62279.386274760385</v>
      </c>
      <c r="O39" s="7">
        <f t="shared" si="1"/>
        <v>67946.810425763586</v>
      </c>
      <c r="P39" s="7">
        <f t="shared" si="1"/>
        <v>72555.485010095843</v>
      </c>
      <c r="Q39" s="7">
        <f t="shared" si="1"/>
        <v>77288.718366977642</v>
      </c>
    </row>
    <row r="40" spans="1:30" x14ac:dyDescent="0.25">
      <c r="A40" s="375">
        <v>6</v>
      </c>
      <c r="B40" t="s">
        <v>549</v>
      </c>
      <c r="C40" t="s">
        <v>1346</v>
      </c>
      <c r="D40" t="s">
        <v>1320</v>
      </c>
      <c r="E40" s="376">
        <v>7.7873070000000003E-3</v>
      </c>
      <c r="F40" s="376">
        <v>8.495951937E-3</v>
      </c>
      <c r="G40" s="376">
        <v>9.0722126550000001E-3</v>
      </c>
      <c r="H40" s="376">
        <v>9.6640479869999994E-3</v>
      </c>
      <c r="I40" t="s">
        <v>1351</v>
      </c>
      <c r="N40" s="7">
        <f t="shared" si="1"/>
        <v>75235.835041533544</v>
      </c>
      <c r="O40" s="7">
        <f t="shared" si="1"/>
        <v>82082.296030313097</v>
      </c>
      <c r="P40" s="7">
        <f t="shared" si="1"/>
        <v>87649.747823386584</v>
      </c>
      <c r="Q40" s="7">
        <f t="shared" si="1"/>
        <v>93367.671286543133</v>
      </c>
    </row>
    <row r="41" spans="1:30" x14ac:dyDescent="0.25">
      <c r="A41" s="375">
        <v>6</v>
      </c>
      <c r="B41" t="s">
        <v>549</v>
      </c>
      <c r="C41" t="s">
        <v>1323</v>
      </c>
      <c r="D41" t="s">
        <v>1320</v>
      </c>
      <c r="E41" s="376">
        <v>1.8409384000000001E-2</v>
      </c>
      <c r="F41" s="376">
        <v>1.7654599255999999E-2</v>
      </c>
      <c r="G41" s="376">
        <v>1.7102317735999999E-2</v>
      </c>
      <c r="H41" s="376">
        <v>1.7525733567999999E-2</v>
      </c>
      <c r="I41" t="s">
        <v>1357</v>
      </c>
      <c r="N41" s="7">
        <f t="shared" si="1"/>
        <v>177859.35212779554</v>
      </c>
      <c r="O41" s="7">
        <f t="shared" si="1"/>
        <v>170567.11869055592</v>
      </c>
      <c r="P41" s="7">
        <f t="shared" si="1"/>
        <v>165231.33812672205</v>
      </c>
      <c r="Q41" s="7">
        <f t="shared" si="1"/>
        <v>169322.10322566133</v>
      </c>
    </row>
    <row r="42" spans="1:30" x14ac:dyDescent="0.25">
      <c r="A42" s="375">
        <v>6</v>
      </c>
      <c r="B42" t="s">
        <v>549</v>
      </c>
      <c r="C42" t="s">
        <v>1330</v>
      </c>
      <c r="D42" t="s">
        <v>1320</v>
      </c>
      <c r="E42" s="376">
        <v>5.8665699999999998E-3</v>
      </c>
      <c r="F42" s="376">
        <v>5.6260406299999998E-3</v>
      </c>
      <c r="G42" s="376">
        <v>5.4500435300000004E-3</v>
      </c>
      <c r="H42" s="376">
        <v>5.5849746399998998E-3</v>
      </c>
      <c r="I42" t="s">
        <v>1357</v>
      </c>
      <c r="N42" s="7">
        <f t="shared" si="1"/>
        <v>56678.938274760389</v>
      </c>
      <c r="O42" s="7">
        <f t="shared" si="1"/>
        <v>54355.101805495207</v>
      </c>
      <c r="P42" s="7">
        <f t="shared" si="1"/>
        <v>52654.7336572524</v>
      </c>
      <c r="Q42" s="7">
        <f t="shared" si="1"/>
        <v>53958.349237570917</v>
      </c>
    </row>
    <row r="43" spans="1:30" x14ac:dyDescent="0.25">
      <c r="A43" s="375">
        <v>6</v>
      </c>
      <c r="B43" t="s">
        <v>549</v>
      </c>
      <c r="C43" t="s">
        <v>1335</v>
      </c>
      <c r="D43" t="s">
        <v>1320</v>
      </c>
      <c r="E43" s="376">
        <v>1.173314E-2</v>
      </c>
      <c r="F43" s="376">
        <v>1.125208126E-2</v>
      </c>
      <c r="G43" s="376">
        <v>1.0900087060000001E-2</v>
      </c>
      <c r="H43" s="376">
        <v>1.11699492799999E-2</v>
      </c>
      <c r="I43" t="s">
        <v>1357</v>
      </c>
      <c r="N43" s="7">
        <f t="shared" si="1"/>
        <v>113357.87654952078</v>
      </c>
      <c r="O43" s="7">
        <f t="shared" si="1"/>
        <v>108710.20361099041</v>
      </c>
      <c r="P43" s="7">
        <f t="shared" si="1"/>
        <v>105309.4673145048</v>
      </c>
      <c r="Q43" s="7">
        <f t="shared" si="1"/>
        <v>107916.69847514281</v>
      </c>
    </row>
    <row r="44" spans="1:30" x14ac:dyDescent="0.25">
      <c r="A44" s="375">
        <v>6</v>
      </c>
      <c r="B44" t="s">
        <v>549</v>
      </c>
      <c r="C44" t="s">
        <v>1338</v>
      </c>
      <c r="D44" t="s">
        <v>1320</v>
      </c>
      <c r="E44" s="376">
        <v>2.8548770000000001E-2</v>
      </c>
      <c r="F44" s="376">
        <v>2.7378270430000001E-2</v>
      </c>
      <c r="G44" s="376">
        <v>2.6521807330000001E-2</v>
      </c>
      <c r="H44" s="376">
        <v>2.717842904E-2</v>
      </c>
      <c r="I44" t="s">
        <v>1357</v>
      </c>
      <c r="N44" s="7">
        <f t="shared" si="1"/>
        <v>275819.42645367415</v>
      </c>
      <c r="O44" s="7">
        <f t="shared" si="1"/>
        <v>264510.82996907353</v>
      </c>
      <c r="P44" s="7">
        <f t="shared" si="1"/>
        <v>256236.24717546327</v>
      </c>
      <c r="Q44" s="7">
        <f t="shared" si="1"/>
        <v>262580.09398389776</v>
      </c>
    </row>
    <row r="45" spans="1:30" x14ac:dyDescent="0.25">
      <c r="A45" s="375">
        <v>6</v>
      </c>
      <c r="B45" t="s">
        <v>549</v>
      </c>
      <c r="C45" t="s">
        <v>1346</v>
      </c>
      <c r="D45" t="s">
        <v>1320</v>
      </c>
      <c r="E45" s="376">
        <v>5.0056082000000002E-2</v>
      </c>
      <c r="F45" s="376">
        <v>4.8003782638000002E-2</v>
      </c>
      <c r="G45" s="376">
        <v>4.6502100178000001E-2</v>
      </c>
      <c r="H45" s="376">
        <v>4.7653390063999997E-2</v>
      </c>
      <c r="I45" t="s">
        <v>1357</v>
      </c>
      <c r="N45" s="7">
        <f t="shared" si="1"/>
        <v>483608.92002555914</v>
      </c>
      <c r="O45" s="7">
        <f t="shared" si="1"/>
        <v>463780.95430451125</v>
      </c>
      <c r="P45" s="7">
        <f t="shared" si="1"/>
        <v>449272.6867037444</v>
      </c>
      <c r="Q45" s="7">
        <f t="shared" si="1"/>
        <v>460395.69186433224</v>
      </c>
    </row>
    <row r="46" spans="1:30" x14ac:dyDescent="0.25">
      <c r="N46" s="7"/>
      <c r="O46" s="7"/>
      <c r="P46" s="7"/>
      <c r="Q46" s="7"/>
    </row>
    <row r="47" spans="1:30" x14ac:dyDescent="0.25">
      <c r="L47" s="1" t="s">
        <v>535</v>
      </c>
      <c r="N47" s="23">
        <f>SUM(N2:N45)</f>
        <v>118490170.59787859</v>
      </c>
      <c r="O47" s="23">
        <f>SUM(O2:O45)</f>
        <v>117487184.61796677</v>
      </c>
      <c r="P47" s="23">
        <f>SUM(P2:P45)</f>
        <v>118903819.41317257</v>
      </c>
      <c r="Q47" s="23">
        <f>SUM(Q2:Q45)</f>
        <v>127111266.0840252</v>
      </c>
    </row>
    <row r="48" spans="1:30" x14ac:dyDescent="0.25">
      <c r="N48" s="359"/>
    </row>
  </sheetData>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8A600-977F-462F-BEAA-38523594AE8A}">
  <sheetPr>
    <tabColor rgb="FF984211"/>
  </sheetPr>
  <dimension ref="A1:ET183"/>
  <sheetViews>
    <sheetView topLeftCell="AE34" zoomScaleNormal="100" workbookViewId="0">
      <selection activeCell="AW42" sqref="AW42"/>
    </sheetView>
  </sheetViews>
  <sheetFormatPr defaultRowHeight="15" x14ac:dyDescent="0.25"/>
  <cols>
    <col min="1" max="18" width="13.7109375" customWidth="1"/>
  </cols>
  <sheetData>
    <row r="1" spans="1:19" ht="18.75" x14ac:dyDescent="0.3">
      <c r="A1" s="279" t="s">
        <v>565</v>
      </c>
    </row>
    <row r="3" spans="1:19" ht="15.75" x14ac:dyDescent="0.25">
      <c r="A3" s="280" t="s">
        <v>566</v>
      </c>
    </row>
    <row r="4" spans="1:19" ht="15.75" x14ac:dyDescent="0.25">
      <c r="A4" s="281"/>
    </row>
    <row r="5" spans="1:19" ht="15.75" x14ac:dyDescent="0.25">
      <c r="A5" s="282" t="s">
        <v>535</v>
      </c>
      <c r="H5" s="282" t="s">
        <v>567</v>
      </c>
      <c r="N5" s="282" t="s">
        <v>568</v>
      </c>
    </row>
    <row r="6" spans="1:19" ht="36.75" thickBot="1" x14ac:dyDescent="0.4">
      <c r="A6" s="283" t="s">
        <v>569</v>
      </c>
      <c r="B6" s="284" t="s">
        <v>570</v>
      </c>
      <c r="C6" s="284" t="s">
        <v>571</v>
      </c>
      <c r="D6" s="284" t="s">
        <v>572</v>
      </c>
      <c r="E6" s="284" t="s">
        <v>573</v>
      </c>
      <c r="F6" s="284" t="s">
        <v>574</v>
      </c>
      <c r="H6" s="284" t="s">
        <v>570</v>
      </c>
      <c r="I6" s="284" t="s">
        <v>571</v>
      </c>
      <c r="J6" s="284" t="s">
        <v>572</v>
      </c>
      <c r="K6" s="284" t="s">
        <v>573</v>
      </c>
      <c r="L6" s="284" t="s">
        <v>574</v>
      </c>
      <c r="N6" s="284" t="s">
        <v>570</v>
      </c>
      <c r="O6" s="284" t="s">
        <v>571</v>
      </c>
      <c r="P6" s="284" t="s">
        <v>572</v>
      </c>
      <c r="Q6" s="284" t="s">
        <v>573</v>
      </c>
      <c r="R6" s="284" t="s">
        <v>574</v>
      </c>
    </row>
    <row r="7" spans="1:19" ht="15.75" thickTop="1" x14ac:dyDescent="0.25">
      <c r="A7" t="s">
        <v>575</v>
      </c>
      <c r="B7" s="8">
        <f t="shared" ref="B7:B15" si="0">SUMIF($Z$44:$Z$183,$A7,AU$44:AU$183)*$B$18</f>
        <v>3862.4208769649999</v>
      </c>
      <c r="C7" s="8">
        <f t="shared" ref="C7:C15" si="1">SUMIF($Z$44:$Z$183,$A7,AV$44:AV$183)/2000*$B$18</f>
        <v>0.22121978380500001</v>
      </c>
      <c r="D7" s="8">
        <f t="shared" ref="D7:D15" si="2">SUMIF($Z$44:$Z$183,$A7,AW$44:AW$183)/2000*$B$18</f>
        <v>2.2131231667499997E-2</v>
      </c>
      <c r="E7" s="8">
        <f t="shared" ref="E7:E15" si="3">SUMIF($Z$44:$Z$183,$A7,AX$44:AX$183)*$B$18</f>
        <v>3874.4800871699999</v>
      </c>
      <c r="F7" s="8">
        <f t="shared" ref="F7:F15" si="4">SUMIF($Z$44:$Z$183,$A7,CW$44:CW$183)*$B$18</f>
        <v>7953.43785897</v>
      </c>
      <c r="H7">
        <v>0</v>
      </c>
      <c r="I7">
        <v>0</v>
      </c>
      <c r="J7">
        <v>0</v>
      </c>
      <c r="K7">
        <v>0</v>
      </c>
      <c r="L7">
        <v>0</v>
      </c>
      <c r="N7" s="8">
        <f>B7-H7</f>
        <v>3862.4208769649999</v>
      </c>
      <c r="O7" s="8">
        <f t="shared" ref="O7:R16" si="5">C7-I7</f>
        <v>0.22121978380500001</v>
      </c>
      <c r="P7" s="8">
        <f t="shared" si="5"/>
        <v>2.2131231667499997E-2</v>
      </c>
      <c r="Q7" s="8">
        <f t="shared" si="5"/>
        <v>3874.4800871699999</v>
      </c>
      <c r="R7" s="8">
        <f t="shared" si="5"/>
        <v>7953.43785897</v>
      </c>
      <c r="S7" t="s">
        <v>575</v>
      </c>
    </row>
    <row r="8" spans="1:19" x14ac:dyDescent="0.25">
      <c r="A8" t="s">
        <v>9</v>
      </c>
      <c r="B8" s="8">
        <f t="shared" si="0"/>
        <v>7123896.9243817944</v>
      </c>
      <c r="C8" s="8">
        <f t="shared" si="1"/>
        <v>811.95880569001497</v>
      </c>
      <c r="D8" s="8">
        <f t="shared" si="2"/>
        <v>118.07408625174752</v>
      </c>
      <c r="E8" s="8">
        <f t="shared" si="3"/>
        <v>7177921.404106725</v>
      </c>
      <c r="F8" s="8">
        <f t="shared" si="4"/>
        <v>0</v>
      </c>
      <c r="H8" s="8">
        <f>AU44*$B$18</f>
        <v>7123896.9243817944</v>
      </c>
      <c r="I8" s="8">
        <f>AV44/2000*$B$18</f>
        <v>811.95880569001497</v>
      </c>
      <c r="J8" s="8">
        <f>AW44/2000*$B$18</f>
        <v>118.07408625174752</v>
      </c>
      <c r="K8" s="8">
        <f>AX44*$B$18</f>
        <v>7177921.404106725</v>
      </c>
      <c r="L8">
        <f>CW44*$B$18</f>
        <v>0</v>
      </c>
      <c r="N8" s="8">
        <f>B8-H8</f>
        <v>0</v>
      </c>
      <c r="O8" s="8">
        <f t="shared" si="5"/>
        <v>0</v>
      </c>
      <c r="P8" s="8">
        <f t="shared" si="5"/>
        <v>0</v>
      </c>
      <c r="Q8" s="8">
        <f t="shared" si="5"/>
        <v>0</v>
      </c>
      <c r="R8" s="8">
        <f t="shared" si="5"/>
        <v>0</v>
      </c>
      <c r="S8" t="s">
        <v>9</v>
      </c>
    </row>
    <row r="9" spans="1:19" x14ac:dyDescent="0.25">
      <c r="A9" t="s">
        <v>576</v>
      </c>
      <c r="B9" s="8">
        <f t="shared" si="0"/>
        <v>6523261.8077925891</v>
      </c>
      <c r="C9" s="8">
        <f t="shared" si="1"/>
        <v>123.29077557633755</v>
      </c>
      <c r="D9" s="8">
        <f t="shared" si="2"/>
        <v>12.3050287636725</v>
      </c>
      <c r="E9" s="8">
        <f t="shared" si="3"/>
        <v>6529974.7826549998</v>
      </c>
      <c r="F9" s="8">
        <f t="shared" si="4"/>
        <v>0</v>
      </c>
      <c r="H9">
        <v>0</v>
      </c>
      <c r="I9">
        <v>0</v>
      </c>
      <c r="J9">
        <v>0</v>
      </c>
      <c r="K9">
        <v>0</v>
      </c>
      <c r="L9">
        <v>0</v>
      </c>
      <c r="N9" s="8">
        <f t="shared" ref="N9:N15" si="6">B9-H9</f>
        <v>6523261.8077925891</v>
      </c>
      <c r="O9" s="8">
        <f t="shared" si="5"/>
        <v>123.29077557633755</v>
      </c>
      <c r="P9" s="8">
        <f t="shared" si="5"/>
        <v>12.3050287636725</v>
      </c>
      <c r="Q9" s="8">
        <f t="shared" si="5"/>
        <v>6529974.7826549998</v>
      </c>
      <c r="R9" s="8">
        <f t="shared" si="5"/>
        <v>0</v>
      </c>
      <c r="S9" t="s">
        <v>11</v>
      </c>
    </row>
    <row r="10" spans="1:19" x14ac:dyDescent="0.25">
      <c r="A10" t="s">
        <v>230</v>
      </c>
      <c r="B10" s="8">
        <f t="shared" si="0"/>
        <v>0</v>
      </c>
      <c r="C10" s="8">
        <f t="shared" si="1"/>
        <v>0</v>
      </c>
      <c r="D10" s="8">
        <f t="shared" si="2"/>
        <v>0</v>
      </c>
      <c r="E10" s="8">
        <f t="shared" si="3"/>
        <v>0</v>
      </c>
      <c r="F10" s="8">
        <f t="shared" si="4"/>
        <v>0</v>
      </c>
      <c r="H10">
        <v>0</v>
      </c>
      <c r="I10">
        <v>0</v>
      </c>
      <c r="J10">
        <v>0</v>
      </c>
      <c r="K10">
        <v>0</v>
      </c>
      <c r="L10">
        <v>0</v>
      </c>
      <c r="N10" s="8">
        <f t="shared" si="6"/>
        <v>0</v>
      </c>
      <c r="O10" s="8">
        <f t="shared" si="5"/>
        <v>0</v>
      </c>
      <c r="P10" s="8">
        <f t="shared" si="5"/>
        <v>0</v>
      </c>
      <c r="Q10" s="8">
        <f t="shared" si="5"/>
        <v>0</v>
      </c>
      <c r="R10" s="8">
        <f t="shared" si="5"/>
        <v>0</v>
      </c>
      <c r="S10" t="s">
        <v>230</v>
      </c>
    </row>
    <row r="11" spans="1:19" x14ac:dyDescent="0.25">
      <c r="A11" t="s">
        <v>577</v>
      </c>
      <c r="B11" s="8">
        <f t="shared" si="0"/>
        <v>0</v>
      </c>
      <c r="C11" s="8">
        <f t="shared" si="1"/>
        <v>0</v>
      </c>
      <c r="D11" s="8">
        <f t="shared" si="2"/>
        <v>0</v>
      </c>
      <c r="E11" s="8">
        <f t="shared" si="3"/>
        <v>0</v>
      </c>
      <c r="F11" s="8">
        <f t="shared" si="4"/>
        <v>0</v>
      </c>
      <c r="H11">
        <v>0</v>
      </c>
      <c r="I11">
        <v>0</v>
      </c>
      <c r="J11">
        <v>0</v>
      </c>
      <c r="K11">
        <v>0</v>
      </c>
      <c r="L11">
        <v>0</v>
      </c>
      <c r="N11" s="8">
        <f t="shared" si="6"/>
        <v>0</v>
      </c>
      <c r="O11" s="8">
        <f t="shared" si="5"/>
        <v>0</v>
      </c>
      <c r="P11" s="8">
        <f t="shared" si="5"/>
        <v>0</v>
      </c>
      <c r="Q11" s="8">
        <f t="shared" si="5"/>
        <v>0</v>
      </c>
      <c r="R11" s="8">
        <f t="shared" si="5"/>
        <v>0</v>
      </c>
      <c r="S11" t="s">
        <v>577</v>
      </c>
    </row>
    <row r="12" spans="1:19" x14ac:dyDescent="0.25">
      <c r="A12" t="s">
        <v>578</v>
      </c>
      <c r="B12" s="8">
        <f t="shared" si="0"/>
        <v>64580.590525575004</v>
      </c>
      <c r="C12" s="8">
        <f t="shared" si="1"/>
        <v>2.6151898267125002</v>
      </c>
      <c r="D12" s="8">
        <f t="shared" si="2"/>
        <v>0.52303796534250013</v>
      </c>
      <c r="E12" s="8">
        <f t="shared" si="3"/>
        <v>64792.420944630001</v>
      </c>
      <c r="F12" s="8">
        <f t="shared" si="4"/>
        <v>0</v>
      </c>
      <c r="H12">
        <v>0</v>
      </c>
      <c r="I12">
        <v>0</v>
      </c>
      <c r="J12">
        <v>0</v>
      </c>
      <c r="K12">
        <v>0</v>
      </c>
      <c r="L12">
        <v>0</v>
      </c>
      <c r="N12" s="8">
        <f t="shared" si="6"/>
        <v>64580.590525575004</v>
      </c>
      <c r="O12" s="8">
        <f t="shared" si="5"/>
        <v>2.6151898267125002</v>
      </c>
      <c r="P12" s="8">
        <f t="shared" si="5"/>
        <v>0.52303796534250013</v>
      </c>
      <c r="Q12" s="8">
        <f t="shared" si="5"/>
        <v>64792.420944630001</v>
      </c>
      <c r="R12" s="8">
        <f t="shared" si="5"/>
        <v>0</v>
      </c>
      <c r="S12" t="s">
        <v>578</v>
      </c>
    </row>
    <row r="13" spans="1:19" x14ac:dyDescent="0.25">
      <c r="A13" t="s">
        <v>579</v>
      </c>
      <c r="B13" s="8">
        <f t="shared" si="0"/>
        <v>0</v>
      </c>
      <c r="C13" s="8">
        <f t="shared" si="1"/>
        <v>0</v>
      </c>
      <c r="D13" s="8">
        <f t="shared" si="2"/>
        <v>0</v>
      </c>
      <c r="E13" s="8">
        <f t="shared" si="3"/>
        <v>0</v>
      </c>
      <c r="F13" s="8">
        <f t="shared" si="4"/>
        <v>0</v>
      </c>
      <c r="H13">
        <v>0</v>
      </c>
      <c r="I13">
        <v>0</v>
      </c>
      <c r="J13">
        <v>0</v>
      </c>
      <c r="K13">
        <v>0</v>
      </c>
      <c r="L13">
        <v>0</v>
      </c>
      <c r="N13" s="8">
        <f t="shared" si="6"/>
        <v>0</v>
      </c>
      <c r="O13" s="8">
        <f t="shared" si="5"/>
        <v>0</v>
      </c>
      <c r="P13" s="8">
        <f t="shared" si="5"/>
        <v>0</v>
      </c>
      <c r="Q13" s="8">
        <f t="shared" si="5"/>
        <v>0</v>
      </c>
      <c r="R13" s="8">
        <f t="shared" si="5"/>
        <v>0</v>
      </c>
      <c r="S13" t="s">
        <v>1468</v>
      </c>
    </row>
    <row r="14" spans="1:19" x14ac:dyDescent="0.25">
      <c r="A14" t="s">
        <v>580</v>
      </c>
      <c r="B14" s="8">
        <f t="shared" si="0"/>
        <v>0</v>
      </c>
      <c r="C14" s="8">
        <f t="shared" si="1"/>
        <v>0</v>
      </c>
      <c r="D14" s="8">
        <f t="shared" si="2"/>
        <v>0</v>
      </c>
      <c r="E14" s="8">
        <f t="shared" si="3"/>
        <v>0</v>
      </c>
      <c r="F14" s="8">
        <f t="shared" si="4"/>
        <v>0</v>
      </c>
      <c r="H14">
        <v>0</v>
      </c>
      <c r="I14">
        <v>0</v>
      </c>
      <c r="J14">
        <v>0</v>
      </c>
      <c r="K14">
        <v>0</v>
      </c>
      <c r="L14">
        <v>0</v>
      </c>
      <c r="N14" s="8">
        <f t="shared" si="6"/>
        <v>0</v>
      </c>
      <c r="O14" s="8">
        <f t="shared" si="5"/>
        <v>0</v>
      </c>
      <c r="P14" s="8">
        <f t="shared" si="5"/>
        <v>0</v>
      </c>
      <c r="Q14" s="8">
        <f t="shared" si="5"/>
        <v>0</v>
      </c>
      <c r="R14" s="8">
        <f t="shared" si="5"/>
        <v>0</v>
      </c>
      <c r="S14" t="s">
        <v>580</v>
      </c>
    </row>
    <row r="15" spans="1:19" ht="15.75" thickBot="1" x14ac:dyDescent="0.3">
      <c r="A15" s="283" t="s">
        <v>581</v>
      </c>
      <c r="B15" s="285">
        <f t="shared" si="0"/>
        <v>0</v>
      </c>
      <c r="C15" s="285">
        <f t="shared" si="1"/>
        <v>0</v>
      </c>
      <c r="D15" s="285">
        <f t="shared" si="2"/>
        <v>0</v>
      </c>
      <c r="E15" s="285">
        <f t="shared" si="3"/>
        <v>0</v>
      </c>
      <c r="F15" s="285">
        <f t="shared" si="4"/>
        <v>0</v>
      </c>
      <c r="H15" s="283">
        <v>0</v>
      </c>
      <c r="I15" s="283">
        <v>0</v>
      </c>
      <c r="J15" s="283">
        <v>0</v>
      </c>
      <c r="K15" s="283">
        <v>0</v>
      </c>
      <c r="L15" s="283">
        <v>0</v>
      </c>
      <c r="N15" s="285">
        <f t="shared" si="6"/>
        <v>0</v>
      </c>
      <c r="O15" s="285">
        <f t="shared" si="5"/>
        <v>0</v>
      </c>
      <c r="P15" s="285">
        <f t="shared" si="5"/>
        <v>0</v>
      </c>
      <c r="Q15" s="285">
        <f t="shared" si="5"/>
        <v>0</v>
      </c>
      <c r="R15" s="285">
        <f t="shared" si="5"/>
        <v>0</v>
      </c>
      <c r="S15" t="s">
        <v>581</v>
      </c>
    </row>
    <row r="16" spans="1:19" ht="15.75" thickTop="1" x14ac:dyDescent="0.25">
      <c r="A16" t="s">
        <v>535</v>
      </c>
      <c r="B16" s="8">
        <f>SUM(B7:B15)</f>
        <v>13715601.743576923</v>
      </c>
      <c r="C16" s="8">
        <f t="shared" ref="C16:J16" si="7">SUM(C7:C15)</f>
        <v>938.08599087687003</v>
      </c>
      <c r="D16" s="8">
        <f t="shared" si="7"/>
        <v>130.92428421243002</v>
      </c>
      <c r="E16" s="8">
        <f t="shared" si="7"/>
        <v>13776563.087793523</v>
      </c>
      <c r="F16" s="8">
        <f>SUM(F7:F15)</f>
        <v>7953.43785897</v>
      </c>
      <c r="H16" s="8">
        <f t="shared" si="7"/>
        <v>7123896.9243817944</v>
      </c>
      <c r="I16" s="8">
        <f t="shared" si="7"/>
        <v>811.95880569001497</v>
      </c>
      <c r="J16" s="8">
        <f t="shared" si="7"/>
        <v>118.07408625174752</v>
      </c>
      <c r="K16" s="8">
        <f>SUM(K7:K15)</f>
        <v>7177921.404106725</v>
      </c>
      <c r="L16" s="8">
        <f t="shared" ref="L16" si="8">SUM(L7:L15)</f>
        <v>0</v>
      </c>
      <c r="N16" s="286">
        <f>B16-H16</f>
        <v>6591704.819195129</v>
      </c>
      <c r="O16" s="286">
        <f t="shared" si="5"/>
        <v>126.12718518685506</v>
      </c>
      <c r="P16" s="286">
        <f t="shared" si="5"/>
        <v>12.850197960682507</v>
      </c>
      <c r="Q16" s="286">
        <f>E16-K16</f>
        <v>6598641.6836867984</v>
      </c>
      <c r="R16" s="286">
        <f>F16-L16</f>
        <v>7953.43785897</v>
      </c>
    </row>
    <row r="17" spans="1:16" x14ac:dyDescent="0.25">
      <c r="B17" s="8"/>
      <c r="C17" s="8"/>
      <c r="D17" s="8"/>
      <c r="E17" s="8"/>
    </row>
    <row r="18" spans="1:16" x14ac:dyDescent="0.25">
      <c r="A18" s="217" t="s">
        <v>62</v>
      </c>
      <c r="B18" s="217">
        <v>0.90718500000000002</v>
      </c>
      <c r="C18" s="217" t="s">
        <v>63</v>
      </c>
    </row>
    <row r="20" spans="1:16" x14ac:dyDescent="0.25">
      <c r="A20" s="8"/>
      <c r="B20" s="8"/>
      <c r="C20" s="8"/>
      <c r="D20" s="8"/>
    </row>
    <row r="21" spans="1:16" ht="15.75" x14ac:dyDescent="0.25">
      <c r="A21" s="280" t="s">
        <v>582</v>
      </c>
      <c r="B21" s="8"/>
      <c r="C21" s="8"/>
      <c r="D21" s="8"/>
      <c r="O21" s="287"/>
    </row>
    <row r="22" spans="1:16" ht="15.75" x14ac:dyDescent="0.25">
      <c r="A22" s="281"/>
      <c r="B22" s="8"/>
      <c r="C22" s="8"/>
      <c r="D22" s="8"/>
      <c r="O22" s="288"/>
    </row>
    <row r="23" spans="1:16" ht="15.75" x14ac:dyDescent="0.25">
      <c r="A23" s="282" t="s">
        <v>535</v>
      </c>
      <c r="B23" s="8"/>
      <c r="C23" s="8"/>
      <c r="D23" s="8"/>
      <c r="E23" s="282" t="s">
        <v>567</v>
      </c>
      <c r="H23" s="282" t="s">
        <v>568</v>
      </c>
      <c r="K23" t="s">
        <v>1458</v>
      </c>
      <c r="O23" s="288"/>
    </row>
    <row r="24" spans="1:16" ht="15.75" thickBot="1" x14ac:dyDescent="0.3">
      <c r="A24" s="283" t="s">
        <v>569</v>
      </c>
      <c r="B24" s="285" t="s">
        <v>583</v>
      </c>
      <c r="C24" s="285" t="s">
        <v>584</v>
      </c>
      <c r="E24" s="285" t="s">
        <v>583</v>
      </c>
      <c r="F24" s="285" t="s">
        <v>584</v>
      </c>
      <c r="H24" s="285" t="s">
        <v>583</v>
      </c>
      <c r="I24" s="285" t="s">
        <v>584</v>
      </c>
      <c r="K24" s="26" t="s">
        <v>35</v>
      </c>
      <c r="L24" s="26" t="s">
        <v>1469</v>
      </c>
      <c r="O24" s="287"/>
    </row>
    <row r="25" spans="1:16" ht="15.75" thickTop="1" x14ac:dyDescent="0.25">
      <c r="A25" s="289" t="s">
        <v>575</v>
      </c>
      <c r="B25" s="290">
        <f t="shared" ref="B25:B33" si="9">SUMIF(Z$44:Z$183,A25,AO$44:AO$183)</f>
        <v>20036.099999999999</v>
      </c>
      <c r="C25" s="6">
        <f t="shared" ref="C25:C34" si="10">B25/B$34</f>
        <v>5.1035869689832316E-4</v>
      </c>
      <c r="E25" s="290">
        <v>0</v>
      </c>
      <c r="F25" s="6">
        <f t="shared" ref="F25:F34" si="11">E25/E$34</f>
        <v>0</v>
      </c>
      <c r="H25" s="290">
        <f t="shared" ref="H25:H33" si="12">B25-E25</f>
        <v>20036.099999999999</v>
      </c>
      <c r="I25" s="6">
        <f t="shared" ref="I25:I34" si="13">H25/H$34</f>
        <v>6.2959190824511408E-4</v>
      </c>
      <c r="K25" t="s">
        <v>11</v>
      </c>
      <c r="L25" s="8">
        <f>H27</f>
        <v>14161265.005000001</v>
      </c>
    </row>
    <row r="26" spans="1:16" x14ac:dyDescent="0.25">
      <c r="A26" t="s">
        <v>9</v>
      </c>
      <c r="B26" s="8">
        <f t="shared" si="9"/>
        <v>7434911</v>
      </c>
      <c r="C26" s="6">
        <f t="shared" si="10"/>
        <v>0.18938174043426662</v>
      </c>
      <c r="E26" s="8">
        <f>AO44</f>
        <v>7434911</v>
      </c>
      <c r="F26" s="6">
        <f t="shared" si="11"/>
        <v>1</v>
      </c>
      <c r="H26" s="8">
        <f>B26-E26</f>
        <v>0</v>
      </c>
      <c r="I26" s="6">
        <f t="shared" si="13"/>
        <v>0</v>
      </c>
      <c r="K26" t="s">
        <v>581</v>
      </c>
      <c r="L26" s="8">
        <f>H33</f>
        <v>14914316</v>
      </c>
      <c r="O26" s="287"/>
      <c r="P26" s="287"/>
    </row>
    <row r="27" spans="1:16" x14ac:dyDescent="0.25">
      <c r="A27" t="s">
        <v>576</v>
      </c>
      <c r="B27" s="8">
        <f t="shared" si="9"/>
        <v>14161265.005000001</v>
      </c>
      <c r="C27" s="6">
        <f t="shared" si="10"/>
        <v>0.36071514687906464</v>
      </c>
      <c r="E27" s="8">
        <v>0</v>
      </c>
      <c r="F27" s="6">
        <f t="shared" si="11"/>
        <v>0</v>
      </c>
      <c r="H27" s="8">
        <f t="shared" si="12"/>
        <v>14161265.005000001</v>
      </c>
      <c r="I27" s="6">
        <f>H27/H$34</f>
        <v>0.44498769010250028</v>
      </c>
      <c r="K27" t="s">
        <v>580</v>
      </c>
      <c r="L27" s="8">
        <f>H32</f>
        <v>2434562.66</v>
      </c>
      <c r="O27" s="291"/>
      <c r="P27" s="287"/>
    </row>
    <row r="28" spans="1:16" x14ac:dyDescent="0.25">
      <c r="A28" t="s">
        <v>230</v>
      </c>
      <c r="B28" s="8">
        <f t="shared" si="9"/>
        <v>35857.999000000003</v>
      </c>
      <c r="C28" s="6">
        <f t="shared" si="10"/>
        <v>9.1337344308629821E-4</v>
      </c>
      <c r="E28" s="8">
        <v>0</v>
      </c>
      <c r="F28" s="6">
        <f t="shared" si="11"/>
        <v>0</v>
      </c>
      <c r="H28" s="8">
        <f t="shared" si="12"/>
        <v>35857.999000000003</v>
      </c>
      <c r="I28" s="6">
        <f t="shared" si="13"/>
        <v>1.1267614963122261E-3</v>
      </c>
      <c r="K28" t="s">
        <v>1468</v>
      </c>
      <c r="L28" s="8">
        <f>SUM(H25,H28,H29,H30,H31)</f>
        <v>313804.098</v>
      </c>
      <c r="N28" s="15"/>
      <c r="O28" s="291"/>
      <c r="P28" s="287"/>
    </row>
    <row r="29" spans="1:16" x14ac:dyDescent="0.25">
      <c r="A29" t="s">
        <v>577</v>
      </c>
      <c r="B29" s="8">
        <f t="shared" si="9"/>
        <v>107791.999</v>
      </c>
      <c r="C29" s="6">
        <f t="shared" si="10"/>
        <v>2.745673267038264E-3</v>
      </c>
      <c r="E29" s="8">
        <v>0</v>
      </c>
      <c r="F29" s="6">
        <f t="shared" si="11"/>
        <v>0</v>
      </c>
      <c r="H29" s="8">
        <f t="shared" si="12"/>
        <v>107791.999</v>
      </c>
      <c r="I29" s="6">
        <f t="shared" si="13"/>
        <v>3.3871347389943865E-3</v>
      </c>
    </row>
    <row r="30" spans="1:16" x14ac:dyDescent="0.25">
      <c r="A30" t="s">
        <v>578</v>
      </c>
      <c r="B30" s="8">
        <f t="shared" si="9"/>
        <v>858</v>
      </c>
      <c r="C30" s="6">
        <f t="shared" si="10"/>
        <v>2.185493993036376E-5</v>
      </c>
      <c r="E30" s="8">
        <v>0</v>
      </c>
      <c r="F30" s="6">
        <f t="shared" si="11"/>
        <v>0</v>
      </c>
      <c r="H30" s="8">
        <f t="shared" si="12"/>
        <v>858</v>
      </c>
      <c r="I30" s="6">
        <f t="shared" si="13"/>
        <v>2.6960828568149885E-5</v>
      </c>
    </row>
    <row r="31" spans="1:16" x14ac:dyDescent="0.25">
      <c r="A31" t="s">
        <v>579</v>
      </c>
      <c r="B31" s="8">
        <f t="shared" si="9"/>
        <v>149260</v>
      </c>
      <c r="C31" s="6">
        <f t="shared" si="10"/>
        <v>3.8019444452285487E-3</v>
      </c>
      <c r="E31" s="8">
        <v>0</v>
      </c>
      <c r="F31" s="6">
        <f t="shared" si="11"/>
        <v>0</v>
      </c>
      <c r="H31" s="8">
        <f t="shared" si="12"/>
        <v>149260</v>
      </c>
      <c r="I31" s="6">
        <f t="shared" si="13"/>
        <v>4.6901786387902704E-3</v>
      </c>
    </row>
    <row r="32" spans="1:16" x14ac:dyDescent="0.25">
      <c r="A32" t="s">
        <v>580</v>
      </c>
      <c r="B32" s="8">
        <f t="shared" si="9"/>
        <v>2434562.66</v>
      </c>
      <c r="C32" s="6">
        <f t="shared" si="10"/>
        <v>6.2013077728445935E-2</v>
      </c>
      <c r="E32" s="8">
        <v>0</v>
      </c>
      <c r="F32" s="6">
        <f t="shared" si="11"/>
        <v>0</v>
      </c>
      <c r="H32" s="8">
        <f t="shared" si="12"/>
        <v>2434562.66</v>
      </c>
      <c r="I32" s="6">
        <f t="shared" si="13"/>
        <v>7.6500963303821654E-2</v>
      </c>
    </row>
    <row r="33" spans="1:150" ht="15.75" thickBot="1" x14ac:dyDescent="0.3">
      <c r="A33" s="283" t="s">
        <v>581</v>
      </c>
      <c r="B33" s="285">
        <f t="shared" si="9"/>
        <v>14914316</v>
      </c>
      <c r="C33" s="292">
        <f t="shared" si="10"/>
        <v>0.37989683016604092</v>
      </c>
      <c r="E33" s="285">
        <v>0</v>
      </c>
      <c r="F33" s="292">
        <f t="shared" si="11"/>
        <v>0</v>
      </c>
      <c r="H33" s="285">
        <f t="shared" si="12"/>
        <v>14914316</v>
      </c>
      <c r="I33" s="292">
        <f t="shared" si="13"/>
        <v>0.46865071898276794</v>
      </c>
    </row>
    <row r="34" spans="1:150" ht="15.75" thickTop="1" x14ac:dyDescent="0.25">
      <c r="A34" t="s">
        <v>535</v>
      </c>
      <c r="B34" s="8">
        <f>SUM(B25:B33)</f>
        <v>39258858.763000004</v>
      </c>
      <c r="C34" s="6">
        <f t="shared" si="10"/>
        <v>1</v>
      </c>
      <c r="E34" s="8">
        <f>SUM(E25:E33)</f>
        <v>7434911</v>
      </c>
      <c r="F34" s="6">
        <f t="shared" si="11"/>
        <v>1</v>
      </c>
      <c r="H34" s="8">
        <f>SUM(H25:H33)</f>
        <v>31823947.763</v>
      </c>
      <c r="I34" s="6">
        <f t="shared" si="13"/>
        <v>1</v>
      </c>
    </row>
    <row r="35" spans="1:150" ht="15.75" x14ac:dyDescent="0.25">
      <c r="A35" s="281"/>
      <c r="B35" s="8"/>
      <c r="C35" s="8"/>
      <c r="D35" s="8"/>
    </row>
    <row r="36" spans="1:150" x14ac:dyDescent="0.25">
      <c r="A36" s="8"/>
      <c r="B36" s="8"/>
      <c r="C36" s="8"/>
      <c r="D36" s="8"/>
    </row>
    <row r="37" spans="1:150" s="1" customFormat="1" ht="15.75" x14ac:dyDescent="0.25">
      <c r="A37" s="280" t="s">
        <v>585</v>
      </c>
      <c r="B37" s="26"/>
      <c r="C37" s="26"/>
      <c r="D37" s="26"/>
      <c r="H37"/>
    </row>
    <row r="38" spans="1:150" x14ac:dyDescent="0.25">
      <c r="A38" s="217" t="s">
        <v>586</v>
      </c>
    </row>
    <row r="39" spans="1:150" x14ac:dyDescent="0.25">
      <c r="A39" s="293" t="s">
        <v>587</v>
      </c>
    </row>
    <row r="40" spans="1:150" x14ac:dyDescent="0.25">
      <c r="A40" s="294" t="s">
        <v>588</v>
      </c>
    </row>
    <row r="41" spans="1:150" x14ac:dyDescent="0.25">
      <c r="A41" s="293" t="s">
        <v>589</v>
      </c>
    </row>
    <row r="42" spans="1:150" x14ac:dyDescent="0.25">
      <c r="A42" s="293"/>
    </row>
    <row r="43" spans="1:150" ht="123.75" x14ac:dyDescent="0.25">
      <c r="A43" s="295" t="s">
        <v>42</v>
      </c>
      <c r="B43" s="295" t="s">
        <v>43</v>
      </c>
      <c r="C43" s="295" t="s">
        <v>44</v>
      </c>
      <c r="D43" s="295" t="s">
        <v>45</v>
      </c>
      <c r="E43" s="295" t="s">
        <v>590</v>
      </c>
      <c r="F43" s="295" t="s">
        <v>591</v>
      </c>
      <c r="G43" s="295" t="s">
        <v>592</v>
      </c>
      <c r="H43" s="295" t="s">
        <v>46</v>
      </c>
      <c r="I43" s="295" t="s">
        <v>47</v>
      </c>
      <c r="J43" s="295" t="s">
        <v>48</v>
      </c>
      <c r="K43" s="295" t="s">
        <v>593</v>
      </c>
      <c r="L43" s="295" t="s">
        <v>594</v>
      </c>
      <c r="M43" s="295" t="s">
        <v>595</v>
      </c>
      <c r="N43" s="295" t="s">
        <v>596</v>
      </c>
      <c r="O43" s="295" t="s">
        <v>597</v>
      </c>
      <c r="P43" s="295" t="s">
        <v>598</v>
      </c>
      <c r="Q43" s="295" t="s">
        <v>599</v>
      </c>
      <c r="R43" s="295" t="s">
        <v>600</v>
      </c>
      <c r="S43" s="295" t="s">
        <v>601</v>
      </c>
      <c r="T43" s="295" t="s">
        <v>602</v>
      </c>
      <c r="U43" s="295" t="s">
        <v>603</v>
      </c>
      <c r="V43" s="295" t="s">
        <v>604</v>
      </c>
      <c r="W43" s="295" t="s">
        <v>49</v>
      </c>
      <c r="X43" s="295" t="s">
        <v>50</v>
      </c>
      <c r="Y43" s="295" t="s">
        <v>51</v>
      </c>
      <c r="Z43" s="295" t="s">
        <v>605</v>
      </c>
      <c r="AA43" s="295" t="s">
        <v>606</v>
      </c>
      <c r="AB43" s="295" t="s">
        <v>607</v>
      </c>
      <c r="AC43" s="295" t="s">
        <v>608</v>
      </c>
      <c r="AD43" s="295" t="s">
        <v>609</v>
      </c>
      <c r="AE43" s="295" t="s">
        <v>610</v>
      </c>
      <c r="AF43" s="295" t="s">
        <v>611</v>
      </c>
      <c r="AG43" s="295" t="s">
        <v>612</v>
      </c>
      <c r="AH43" s="295" t="s">
        <v>613</v>
      </c>
      <c r="AI43" s="295" t="s">
        <v>614</v>
      </c>
      <c r="AJ43" s="295" t="s">
        <v>615</v>
      </c>
      <c r="AK43" s="296" t="s">
        <v>616</v>
      </c>
      <c r="AL43" s="296" t="s">
        <v>617</v>
      </c>
      <c r="AM43" s="296" t="s">
        <v>618</v>
      </c>
      <c r="AN43" s="296" t="s">
        <v>619</v>
      </c>
      <c r="AO43" s="296" t="s">
        <v>620</v>
      </c>
      <c r="AP43" s="296" t="s">
        <v>621</v>
      </c>
      <c r="AQ43" s="296" t="s">
        <v>622</v>
      </c>
      <c r="AR43" s="296" t="s">
        <v>623</v>
      </c>
      <c r="AS43" s="296" t="s">
        <v>624</v>
      </c>
      <c r="AT43" s="296" t="s">
        <v>625</v>
      </c>
      <c r="AU43" s="296" t="s">
        <v>52</v>
      </c>
      <c r="AV43" s="296" t="s">
        <v>53</v>
      </c>
      <c r="AW43" s="296" t="s">
        <v>54</v>
      </c>
      <c r="AX43" s="296" t="s">
        <v>626</v>
      </c>
      <c r="AY43" s="296" t="s">
        <v>627</v>
      </c>
      <c r="AZ43" s="297" t="s">
        <v>628</v>
      </c>
      <c r="BA43" s="297" t="s">
        <v>629</v>
      </c>
      <c r="BB43" s="297" t="s">
        <v>630</v>
      </c>
      <c r="BC43" s="297" t="s">
        <v>631</v>
      </c>
      <c r="BD43" s="297" t="s">
        <v>632</v>
      </c>
      <c r="BE43" s="297" t="s">
        <v>633</v>
      </c>
      <c r="BF43" s="297" t="s">
        <v>634</v>
      </c>
      <c r="BG43" s="297" t="s">
        <v>635</v>
      </c>
      <c r="BH43" s="298" t="s">
        <v>636</v>
      </c>
      <c r="BI43" s="298" t="s">
        <v>637</v>
      </c>
      <c r="BJ43" s="298" t="s">
        <v>638</v>
      </c>
      <c r="BK43" s="298" t="s">
        <v>639</v>
      </c>
      <c r="BL43" s="298" t="s">
        <v>640</v>
      </c>
      <c r="BM43" s="298" t="s">
        <v>641</v>
      </c>
      <c r="BN43" s="298" t="s">
        <v>642</v>
      </c>
      <c r="BO43" s="298" t="s">
        <v>643</v>
      </c>
      <c r="BP43" s="299" t="s">
        <v>644</v>
      </c>
      <c r="BQ43" s="299" t="s">
        <v>645</v>
      </c>
      <c r="BR43" s="299" t="s">
        <v>646</v>
      </c>
      <c r="BS43" s="299" t="s">
        <v>647</v>
      </c>
      <c r="BT43" s="299" t="s">
        <v>648</v>
      </c>
      <c r="BU43" s="299" t="s">
        <v>649</v>
      </c>
      <c r="BV43" s="299" t="s">
        <v>650</v>
      </c>
      <c r="BW43" s="299" t="s">
        <v>651</v>
      </c>
      <c r="BX43" s="300" t="s">
        <v>652</v>
      </c>
      <c r="BY43" s="300" t="s">
        <v>653</v>
      </c>
      <c r="BZ43" s="300" t="s">
        <v>654</v>
      </c>
      <c r="CA43" s="300" t="s">
        <v>655</v>
      </c>
      <c r="CB43" s="300" t="s">
        <v>656</v>
      </c>
      <c r="CC43" s="300" t="s">
        <v>657</v>
      </c>
      <c r="CD43" s="300" t="s">
        <v>658</v>
      </c>
      <c r="CE43" s="300" t="s">
        <v>659</v>
      </c>
      <c r="CF43" s="300" t="s">
        <v>660</v>
      </c>
      <c r="CG43" s="300" t="s">
        <v>661</v>
      </c>
      <c r="CH43" s="300" t="s">
        <v>662</v>
      </c>
      <c r="CI43" s="300" t="s">
        <v>663</v>
      </c>
      <c r="CJ43" s="300" t="s">
        <v>664</v>
      </c>
      <c r="CK43" s="300" t="s">
        <v>665</v>
      </c>
      <c r="CL43" s="300" t="s">
        <v>666</v>
      </c>
      <c r="CM43" s="300" t="s">
        <v>667</v>
      </c>
      <c r="CN43" s="300" t="s">
        <v>668</v>
      </c>
      <c r="CO43" s="300" t="s">
        <v>669</v>
      </c>
      <c r="CP43" s="300" t="s">
        <v>670</v>
      </c>
      <c r="CQ43" s="300" t="s">
        <v>671</v>
      </c>
      <c r="CR43" s="300" t="s">
        <v>672</v>
      </c>
      <c r="CS43" s="300" t="s">
        <v>673</v>
      </c>
      <c r="CT43" s="301" t="s">
        <v>674</v>
      </c>
      <c r="CU43" s="301" t="s">
        <v>675</v>
      </c>
      <c r="CV43" s="301" t="s">
        <v>676</v>
      </c>
      <c r="CW43" s="301" t="s">
        <v>677</v>
      </c>
      <c r="CX43" s="301" t="s">
        <v>678</v>
      </c>
      <c r="CY43" s="301" t="s">
        <v>679</v>
      </c>
      <c r="CZ43" s="301" t="s">
        <v>680</v>
      </c>
      <c r="DA43" s="301" t="s">
        <v>681</v>
      </c>
      <c r="DB43" s="301" t="s">
        <v>682</v>
      </c>
      <c r="DC43" s="301" t="s">
        <v>683</v>
      </c>
      <c r="DD43" s="301" t="s">
        <v>684</v>
      </c>
      <c r="DE43" s="301" t="s">
        <v>685</v>
      </c>
      <c r="DF43" s="301" t="s">
        <v>686</v>
      </c>
      <c r="DG43" s="301" t="s">
        <v>687</v>
      </c>
      <c r="DH43" s="301" t="s">
        <v>688</v>
      </c>
      <c r="DI43" s="301" t="s">
        <v>689</v>
      </c>
      <c r="DJ43" s="295" t="s">
        <v>690</v>
      </c>
      <c r="DK43" s="302" t="s">
        <v>691</v>
      </c>
      <c r="DL43" s="302" t="s">
        <v>692</v>
      </c>
      <c r="DM43" s="302" t="s">
        <v>693</v>
      </c>
      <c r="DN43" s="302" t="s">
        <v>694</v>
      </c>
      <c r="DO43" s="302" t="s">
        <v>695</v>
      </c>
      <c r="DP43" s="302" t="s">
        <v>696</v>
      </c>
      <c r="DQ43" s="302" t="s">
        <v>697</v>
      </c>
      <c r="DR43" s="302" t="s">
        <v>698</v>
      </c>
      <c r="DS43" s="302" t="s">
        <v>699</v>
      </c>
      <c r="DT43" s="302" t="s">
        <v>700</v>
      </c>
      <c r="DU43" s="302" t="s">
        <v>701</v>
      </c>
      <c r="DV43" s="303" t="s">
        <v>702</v>
      </c>
      <c r="DW43" s="303" t="s">
        <v>703</v>
      </c>
      <c r="DX43" s="303" t="s">
        <v>704</v>
      </c>
      <c r="DY43" s="304" t="s">
        <v>705</v>
      </c>
      <c r="DZ43" s="305" t="s">
        <v>706</v>
      </c>
      <c r="EA43" s="305" t="s">
        <v>707</v>
      </c>
      <c r="EB43" s="305" t="s">
        <v>708</v>
      </c>
      <c r="EC43" s="306" t="s">
        <v>709</v>
      </c>
      <c r="ED43" s="306" t="s">
        <v>710</v>
      </c>
      <c r="EE43" s="306" t="s">
        <v>711</v>
      </c>
      <c r="EF43" s="306" t="s">
        <v>712</v>
      </c>
      <c r="EG43" s="306" t="s">
        <v>713</v>
      </c>
      <c r="EH43" s="306" t="s">
        <v>714</v>
      </c>
      <c r="EI43" s="306" t="s">
        <v>715</v>
      </c>
      <c r="EJ43" s="306" t="s">
        <v>716</v>
      </c>
      <c r="EK43" s="306" t="s">
        <v>717</v>
      </c>
      <c r="EL43" s="306" t="s">
        <v>718</v>
      </c>
      <c r="EM43" s="306" t="s">
        <v>719</v>
      </c>
      <c r="EN43" s="307" t="s">
        <v>720</v>
      </c>
      <c r="EO43" s="307" t="s">
        <v>721</v>
      </c>
      <c r="EP43" s="307" t="s">
        <v>722</v>
      </c>
      <c r="EQ43" s="308" t="s">
        <v>723</v>
      </c>
      <c r="ER43" s="309" t="s">
        <v>724</v>
      </c>
      <c r="ES43" s="309" t="s">
        <v>725</v>
      </c>
      <c r="ET43" s="309" t="s">
        <v>726</v>
      </c>
    </row>
    <row r="44" spans="1:150" x14ac:dyDescent="0.25">
      <c r="A44" s="310">
        <v>8421</v>
      </c>
      <c r="B44" s="310">
        <v>2023</v>
      </c>
      <c r="C44" s="310" t="s">
        <v>10</v>
      </c>
      <c r="D44" s="310" t="s">
        <v>727</v>
      </c>
      <c r="E44" s="310">
        <v>2442</v>
      </c>
      <c r="F44" s="310" t="s">
        <v>728</v>
      </c>
      <c r="G44" s="310">
        <v>803</v>
      </c>
      <c r="H44" s="310" t="s">
        <v>728</v>
      </c>
      <c r="I44" s="310">
        <v>803</v>
      </c>
      <c r="J44" s="310" t="s">
        <v>729</v>
      </c>
      <c r="K44" s="310" t="s">
        <v>730</v>
      </c>
      <c r="L44" s="310" t="s">
        <v>731</v>
      </c>
      <c r="M44" s="310" t="s">
        <v>732</v>
      </c>
      <c r="N44" s="310" t="s">
        <v>733</v>
      </c>
      <c r="O44" s="310" t="s">
        <v>734</v>
      </c>
      <c r="P44" s="310"/>
      <c r="Q44" s="310" t="s">
        <v>735</v>
      </c>
      <c r="R44" s="310" t="s">
        <v>736</v>
      </c>
      <c r="S44" s="310" t="s">
        <v>737</v>
      </c>
      <c r="T44" s="310">
        <v>36.69</v>
      </c>
      <c r="U44" s="310">
        <v>-108.48139999999999</v>
      </c>
      <c r="V44" s="310" t="s">
        <v>738</v>
      </c>
      <c r="W44" s="311">
        <v>2</v>
      </c>
      <c r="X44" s="311">
        <v>2</v>
      </c>
      <c r="Y44" s="310" t="s">
        <v>739</v>
      </c>
      <c r="Z44" s="310" t="s">
        <v>740</v>
      </c>
      <c r="AA44" s="310" t="s">
        <v>738</v>
      </c>
      <c r="AB44" s="312">
        <v>0.51871999999999996</v>
      </c>
      <c r="AC44" s="313">
        <v>1636.2</v>
      </c>
      <c r="AD44" s="312">
        <v>0.468795448376226</v>
      </c>
      <c r="AE44" s="310"/>
      <c r="AF44" s="310"/>
      <c r="AG44" s="311"/>
      <c r="AH44" s="311"/>
      <c r="AI44" s="312"/>
      <c r="AJ44" s="310"/>
      <c r="AK44" s="314">
        <v>76537500.797000006</v>
      </c>
      <c r="AL44" s="314">
        <v>41974479.523999996</v>
      </c>
      <c r="AM44" s="314">
        <v>76537500.797000006</v>
      </c>
      <c r="AN44" s="314">
        <v>41974479.523999996</v>
      </c>
      <c r="AO44" s="314">
        <v>7434911</v>
      </c>
      <c r="AP44" s="314">
        <v>4085869</v>
      </c>
      <c r="AQ44" s="314">
        <v>3485452.4360000002</v>
      </c>
      <c r="AR44" s="314">
        <v>2608.0610000000001</v>
      </c>
      <c r="AS44" s="314">
        <v>1442.6479999999999</v>
      </c>
      <c r="AT44" s="314">
        <v>1813.3969999999999</v>
      </c>
      <c r="AU44" s="314">
        <v>7852749.9069999997</v>
      </c>
      <c r="AV44" s="314">
        <v>1790062.2379999999</v>
      </c>
      <c r="AW44" s="314">
        <v>260308.72700000001</v>
      </c>
      <c r="AX44" s="314">
        <v>7912301.6849999996</v>
      </c>
      <c r="AY44" s="315"/>
      <c r="AZ44" s="315">
        <v>0.70199999999999996</v>
      </c>
      <c r="BA44" s="315">
        <v>0.70599999999999996</v>
      </c>
      <c r="BB44" s="315">
        <v>0.48799999999999999</v>
      </c>
      <c r="BC44" s="315">
        <v>2112.3989999999999</v>
      </c>
      <c r="BD44" s="315">
        <v>0.24099999999999999</v>
      </c>
      <c r="BE44" s="315">
        <v>3.5000000000000003E-2</v>
      </c>
      <c r="BF44" s="315">
        <v>2128.4189999999999</v>
      </c>
      <c r="BG44" s="315"/>
      <c r="BH44" s="315">
        <v>6.8000000000000005E-2</v>
      </c>
      <c r="BI44" s="315">
        <v>6.9000000000000006E-2</v>
      </c>
      <c r="BJ44" s="315">
        <v>4.7E-2</v>
      </c>
      <c r="BK44" s="315">
        <v>205.2</v>
      </c>
      <c r="BL44" s="315">
        <v>2.3E-2</v>
      </c>
      <c r="BM44" s="315">
        <v>3.0000000000000001E-3</v>
      </c>
      <c r="BN44" s="315">
        <v>206.756</v>
      </c>
      <c r="BO44" s="315"/>
      <c r="BP44" s="315">
        <v>0.70199999999999996</v>
      </c>
      <c r="BQ44" s="315">
        <v>0.70599999999999996</v>
      </c>
      <c r="BR44" s="315">
        <v>0.48799999999999999</v>
      </c>
      <c r="BS44" s="315">
        <v>2112.3989999999999</v>
      </c>
      <c r="BT44" s="315">
        <v>0.24099999999999999</v>
      </c>
      <c r="BU44" s="315">
        <v>3.5000000000000003E-2</v>
      </c>
      <c r="BV44" s="315">
        <v>2128.4189999999999</v>
      </c>
      <c r="BW44" s="311"/>
      <c r="BX44" s="311">
        <v>2608.0610000000001</v>
      </c>
      <c r="BY44" s="311">
        <v>1442.6479999999999</v>
      </c>
      <c r="BZ44" s="311">
        <v>1813.3969999999999</v>
      </c>
      <c r="CA44" s="311">
        <v>7852749.9069999997</v>
      </c>
      <c r="CB44" s="311">
        <v>1790062.2379999999</v>
      </c>
      <c r="CC44" s="311">
        <v>260308.72700000001</v>
      </c>
      <c r="CD44" s="311">
        <v>7912301.6849999996</v>
      </c>
      <c r="CE44" s="311"/>
      <c r="CF44" s="311">
        <v>76537500.797000006</v>
      </c>
      <c r="CG44" s="311">
        <v>41974479.523999996</v>
      </c>
      <c r="CH44" s="310">
        <v>76537500.797000006</v>
      </c>
      <c r="CI44" s="310">
        <v>41974479.523999996</v>
      </c>
      <c r="CJ44" s="310" t="s">
        <v>741</v>
      </c>
      <c r="CK44" s="310" t="s">
        <v>741</v>
      </c>
      <c r="CL44" s="310" t="s">
        <v>741</v>
      </c>
      <c r="CM44" s="310" t="s">
        <v>741</v>
      </c>
      <c r="CN44" s="310" t="s">
        <v>742</v>
      </c>
      <c r="CO44" s="310" t="s">
        <v>742</v>
      </c>
      <c r="CP44" s="310" t="s">
        <v>743</v>
      </c>
      <c r="CQ44" s="311" t="s">
        <v>744</v>
      </c>
      <c r="CR44" s="311" t="s">
        <v>741</v>
      </c>
      <c r="CS44" s="311" t="s">
        <v>741</v>
      </c>
      <c r="CT44" s="311"/>
      <c r="CU44" s="311"/>
      <c r="CV44" s="311"/>
      <c r="CW44" s="311"/>
      <c r="CX44" s="311"/>
      <c r="CY44" s="311"/>
      <c r="CZ44" s="311"/>
      <c r="DA44" s="311"/>
      <c r="DB44" s="311"/>
      <c r="DC44" s="311"/>
      <c r="DD44" s="311"/>
      <c r="DE44" s="316"/>
      <c r="DF44" s="314"/>
      <c r="DG44" s="314"/>
      <c r="DH44" s="314"/>
      <c r="DI44" s="314"/>
      <c r="DJ44" s="314">
        <v>10294.339900000001</v>
      </c>
      <c r="DK44" s="314">
        <v>7371813.2999999998</v>
      </c>
      <c r="DL44" s="314">
        <v>0</v>
      </c>
      <c r="DM44" s="314">
        <v>63097.684000000001</v>
      </c>
      <c r="DN44" s="314">
        <v>0</v>
      </c>
      <c r="DO44" s="314">
        <v>0</v>
      </c>
      <c r="DP44" s="314">
        <v>0</v>
      </c>
      <c r="DQ44" s="314">
        <v>0</v>
      </c>
      <c r="DR44" s="314">
        <v>0</v>
      </c>
      <c r="DS44" s="314">
        <v>0</v>
      </c>
      <c r="DT44" s="314">
        <v>0</v>
      </c>
      <c r="DU44" s="314">
        <v>0</v>
      </c>
      <c r="DV44" s="314">
        <v>7434910.9840000002</v>
      </c>
      <c r="DW44" s="314">
        <v>0</v>
      </c>
      <c r="DX44" s="314">
        <v>0</v>
      </c>
      <c r="DY44" s="314">
        <v>0</v>
      </c>
      <c r="DZ44" s="314">
        <v>7434910.9840000002</v>
      </c>
      <c r="EA44" s="314">
        <v>0</v>
      </c>
      <c r="EB44" s="314">
        <v>0</v>
      </c>
      <c r="EC44" s="317">
        <v>0.99151332354404997</v>
      </c>
      <c r="ED44" s="317">
        <v>0</v>
      </c>
      <c r="EE44" s="317">
        <v>8.4866764559504201E-3</v>
      </c>
      <c r="EF44" s="317">
        <v>0</v>
      </c>
      <c r="EG44" s="317">
        <v>0</v>
      </c>
      <c r="EH44" s="317">
        <v>0</v>
      </c>
      <c r="EI44" s="317">
        <v>0</v>
      </c>
      <c r="EJ44" s="317">
        <v>0</v>
      </c>
      <c r="EK44" s="317">
        <v>0</v>
      </c>
      <c r="EL44" s="317">
        <v>0</v>
      </c>
      <c r="EM44" s="317">
        <v>0</v>
      </c>
      <c r="EN44" s="317">
        <v>1</v>
      </c>
      <c r="EO44" s="317">
        <v>0</v>
      </c>
      <c r="EP44" s="317">
        <v>0</v>
      </c>
      <c r="EQ44" s="317">
        <v>0</v>
      </c>
      <c r="ER44" s="317">
        <v>1</v>
      </c>
      <c r="ES44" s="317">
        <v>0</v>
      </c>
      <c r="ET44" s="317">
        <v>0</v>
      </c>
    </row>
    <row r="45" spans="1:150" x14ac:dyDescent="0.25">
      <c r="A45" s="310">
        <v>8429</v>
      </c>
      <c r="B45" s="310">
        <v>2023</v>
      </c>
      <c r="C45" s="310" t="s">
        <v>10</v>
      </c>
      <c r="D45" s="310" t="s">
        <v>745</v>
      </c>
      <c r="E45" s="310">
        <v>56458</v>
      </c>
      <c r="F45" s="310" t="s">
        <v>746</v>
      </c>
      <c r="G45" s="310">
        <v>17718</v>
      </c>
      <c r="H45" s="310" t="s">
        <v>747</v>
      </c>
      <c r="I45" s="310">
        <v>54874</v>
      </c>
      <c r="J45" s="310" t="s">
        <v>748</v>
      </c>
      <c r="K45" s="310" t="s">
        <v>749</v>
      </c>
      <c r="L45" s="310" t="s">
        <v>750</v>
      </c>
      <c r="M45" s="310" t="s">
        <v>751</v>
      </c>
      <c r="N45" s="310" t="s">
        <v>752</v>
      </c>
      <c r="O45" s="310" t="s">
        <v>753</v>
      </c>
      <c r="P45" s="310"/>
      <c r="Q45" s="310" t="s">
        <v>735</v>
      </c>
      <c r="R45" s="310" t="s">
        <v>754</v>
      </c>
      <c r="S45" s="310" t="s">
        <v>755</v>
      </c>
      <c r="T45" s="310">
        <v>32.728332999999999</v>
      </c>
      <c r="U45" s="310">
        <v>-103.309444</v>
      </c>
      <c r="V45" s="310" t="s">
        <v>738</v>
      </c>
      <c r="W45" s="311">
        <v>2</v>
      </c>
      <c r="X45" s="311">
        <v>4</v>
      </c>
      <c r="Y45" s="310" t="s">
        <v>58</v>
      </c>
      <c r="Z45" s="310" t="s">
        <v>756</v>
      </c>
      <c r="AA45" s="310"/>
      <c r="AB45" s="312">
        <v>0.65781000000000001</v>
      </c>
      <c r="AC45" s="313">
        <v>681.5</v>
      </c>
      <c r="AD45" s="312">
        <v>0.23697641852346901</v>
      </c>
      <c r="AE45" s="310"/>
      <c r="AF45" s="310"/>
      <c r="AG45" s="311"/>
      <c r="AH45" s="311"/>
      <c r="AI45" s="312"/>
      <c r="AJ45" s="310"/>
      <c r="AK45" s="314">
        <v>29606790.717</v>
      </c>
      <c r="AL45" s="314">
        <v>13914698.942</v>
      </c>
      <c r="AM45" s="314">
        <v>29606790.717</v>
      </c>
      <c r="AN45" s="314">
        <v>13914698.942</v>
      </c>
      <c r="AO45" s="314">
        <v>3927111</v>
      </c>
      <c r="AP45" s="314">
        <v>1833524</v>
      </c>
      <c r="AQ45" s="314">
        <v>930632.7</v>
      </c>
      <c r="AR45" s="314">
        <v>94.924999999999997</v>
      </c>
      <c r="AS45" s="314">
        <v>43.531999999999996</v>
      </c>
      <c r="AT45" s="314">
        <v>7.806</v>
      </c>
      <c r="AU45" s="314">
        <v>1759486.5079999999</v>
      </c>
      <c r="AV45" s="314">
        <v>63861.89</v>
      </c>
      <c r="AW45" s="314">
        <v>6372.7950000000001</v>
      </c>
      <c r="AX45" s="314">
        <v>1761224.97</v>
      </c>
      <c r="AY45" s="315"/>
      <c r="AZ45" s="315">
        <v>4.8000000000000001E-2</v>
      </c>
      <c r="BA45" s="315">
        <v>4.7E-2</v>
      </c>
      <c r="BB45" s="315">
        <v>4.0000000000000001E-3</v>
      </c>
      <c r="BC45" s="315">
        <v>896.072</v>
      </c>
      <c r="BD45" s="315">
        <v>1.6E-2</v>
      </c>
      <c r="BE45" s="315">
        <v>2E-3</v>
      </c>
      <c r="BF45" s="315">
        <v>896.95699999999999</v>
      </c>
      <c r="BG45" s="315"/>
      <c r="BH45" s="315">
        <v>6.0000000000000001E-3</v>
      </c>
      <c r="BI45" s="315">
        <v>6.0000000000000001E-3</v>
      </c>
      <c r="BJ45" s="315">
        <v>1E-3</v>
      </c>
      <c r="BK45" s="315">
        <v>118.857</v>
      </c>
      <c r="BL45" s="315">
        <v>2E-3</v>
      </c>
      <c r="BM45" s="315">
        <v>0</v>
      </c>
      <c r="BN45" s="315">
        <v>118.974</v>
      </c>
      <c r="BO45" s="315"/>
      <c r="BP45" s="315">
        <v>4.8000000000000001E-2</v>
      </c>
      <c r="BQ45" s="315">
        <v>4.7E-2</v>
      </c>
      <c r="BR45" s="315">
        <v>4.0000000000000001E-3</v>
      </c>
      <c r="BS45" s="315">
        <v>896.072</v>
      </c>
      <c r="BT45" s="315">
        <v>1.6E-2</v>
      </c>
      <c r="BU45" s="315">
        <v>2E-3</v>
      </c>
      <c r="BV45" s="315">
        <v>896.95699999999999</v>
      </c>
      <c r="BW45" s="311"/>
      <c r="BX45" s="311">
        <v>94.924999999999997</v>
      </c>
      <c r="BY45" s="311">
        <v>43.531999999999996</v>
      </c>
      <c r="BZ45" s="311">
        <v>7.806</v>
      </c>
      <c r="CA45" s="311">
        <v>1759486.5079999999</v>
      </c>
      <c r="CB45" s="311">
        <v>63861.89</v>
      </c>
      <c r="CC45" s="311">
        <v>6372.7950000000001</v>
      </c>
      <c r="CD45" s="311">
        <v>1761224.97</v>
      </c>
      <c r="CE45" s="311"/>
      <c r="CF45" s="311">
        <v>29606790.717</v>
      </c>
      <c r="CG45" s="311">
        <v>13914698.942</v>
      </c>
      <c r="CH45" s="310">
        <v>29606790.717</v>
      </c>
      <c r="CI45" s="310">
        <v>13914698.942</v>
      </c>
      <c r="CJ45" s="310" t="s">
        <v>741</v>
      </c>
      <c r="CK45" s="310" t="s">
        <v>741</v>
      </c>
      <c r="CL45" s="310" t="s">
        <v>741</v>
      </c>
      <c r="CM45" s="310" t="s">
        <v>741</v>
      </c>
      <c r="CN45" s="310" t="s">
        <v>742</v>
      </c>
      <c r="CO45" s="310" t="s">
        <v>742</v>
      </c>
      <c r="CP45" s="310" t="s">
        <v>743</v>
      </c>
      <c r="CQ45" s="311" t="s">
        <v>744</v>
      </c>
      <c r="CR45" s="311" t="s">
        <v>741</v>
      </c>
      <c r="CS45" s="311" t="s">
        <v>741</v>
      </c>
      <c r="CT45" s="311"/>
      <c r="CU45" s="311"/>
      <c r="CV45" s="311"/>
      <c r="CW45" s="311"/>
      <c r="CX45" s="311"/>
      <c r="CY45" s="311"/>
      <c r="CZ45" s="311"/>
      <c r="DA45" s="311"/>
      <c r="DB45" s="311"/>
      <c r="DC45" s="311"/>
      <c r="DD45" s="311"/>
      <c r="DE45" s="316"/>
      <c r="DF45" s="314"/>
      <c r="DG45" s="314"/>
      <c r="DH45" s="314"/>
      <c r="DI45" s="314"/>
      <c r="DJ45" s="314">
        <v>7539.0766180000001</v>
      </c>
      <c r="DK45" s="314">
        <v>0</v>
      </c>
      <c r="DL45" s="314">
        <v>0</v>
      </c>
      <c r="DM45" s="314">
        <v>3927111</v>
      </c>
      <c r="DN45" s="314">
        <v>0</v>
      </c>
      <c r="DO45" s="314">
        <v>0</v>
      </c>
      <c r="DP45" s="314">
        <v>0</v>
      </c>
      <c r="DQ45" s="314">
        <v>0</v>
      </c>
      <c r="DR45" s="314">
        <v>0</v>
      </c>
      <c r="DS45" s="314">
        <v>0</v>
      </c>
      <c r="DT45" s="314">
        <v>0</v>
      </c>
      <c r="DU45" s="314">
        <v>0</v>
      </c>
      <c r="DV45" s="314">
        <v>3927111</v>
      </c>
      <c r="DW45" s="314">
        <v>0</v>
      </c>
      <c r="DX45" s="314">
        <v>0</v>
      </c>
      <c r="DY45" s="314">
        <v>0</v>
      </c>
      <c r="DZ45" s="314">
        <v>3927111</v>
      </c>
      <c r="EA45" s="314">
        <v>0</v>
      </c>
      <c r="EB45" s="314">
        <v>0</v>
      </c>
      <c r="EC45" s="317">
        <v>0</v>
      </c>
      <c r="ED45" s="317">
        <v>0</v>
      </c>
      <c r="EE45" s="317">
        <v>1</v>
      </c>
      <c r="EF45" s="317">
        <v>0</v>
      </c>
      <c r="EG45" s="317">
        <v>0</v>
      </c>
      <c r="EH45" s="317">
        <v>0</v>
      </c>
      <c r="EI45" s="317">
        <v>0</v>
      </c>
      <c r="EJ45" s="317">
        <v>0</v>
      </c>
      <c r="EK45" s="317">
        <v>0</v>
      </c>
      <c r="EL45" s="317">
        <v>0</v>
      </c>
      <c r="EM45" s="317">
        <v>0</v>
      </c>
      <c r="EN45" s="317">
        <v>1</v>
      </c>
      <c r="EO45" s="317">
        <v>0</v>
      </c>
      <c r="EP45" s="317">
        <v>0</v>
      </c>
      <c r="EQ45" s="317">
        <v>0</v>
      </c>
      <c r="ER45" s="317">
        <v>1</v>
      </c>
      <c r="ES45" s="317">
        <v>0</v>
      </c>
      <c r="ET45" s="317">
        <v>0</v>
      </c>
    </row>
    <row r="46" spans="1:150" x14ac:dyDescent="0.25">
      <c r="A46" s="310">
        <v>8442</v>
      </c>
      <c r="B46" s="310">
        <v>2023</v>
      </c>
      <c r="C46" s="310" t="s">
        <v>10</v>
      </c>
      <c r="D46" s="310" t="s">
        <v>757</v>
      </c>
      <c r="E46" s="310">
        <v>55343</v>
      </c>
      <c r="F46" s="310" t="s">
        <v>758</v>
      </c>
      <c r="G46" s="310">
        <v>5701</v>
      </c>
      <c r="H46" s="310" t="s">
        <v>759</v>
      </c>
      <c r="I46" s="310">
        <v>15473</v>
      </c>
      <c r="J46" s="310" t="s">
        <v>729</v>
      </c>
      <c r="K46" s="310" t="s">
        <v>760</v>
      </c>
      <c r="L46" s="310" t="s">
        <v>761</v>
      </c>
      <c r="M46" s="310" t="s">
        <v>732</v>
      </c>
      <c r="N46" s="310" t="s">
        <v>733</v>
      </c>
      <c r="O46" s="310" t="s">
        <v>734</v>
      </c>
      <c r="P46" s="310"/>
      <c r="Q46" s="310" t="s">
        <v>735</v>
      </c>
      <c r="R46" s="310" t="s">
        <v>762</v>
      </c>
      <c r="S46" s="310" t="s">
        <v>763</v>
      </c>
      <c r="T46" s="310">
        <v>32.299348999999999</v>
      </c>
      <c r="U46" s="310">
        <v>-107.7834</v>
      </c>
      <c r="V46" s="310" t="s">
        <v>738</v>
      </c>
      <c r="W46" s="311">
        <v>2</v>
      </c>
      <c r="X46" s="311">
        <v>3</v>
      </c>
      <c r="Y46" s="310" t="s">
        <v>58</v>
      </c>
      <c r="Z46" s="310" t="s">
        <v>756</v>
      </c>
      <c r="AA46" s="310"/>
      <c r="AB46" s="312">
        <v>0.62807999999999997</v>
      </c>
      <c r="AC46" s="313">
        <v>650</v>
      </c>
      <c r="AD46" s="312">
        <v>0.28653407095187899</v>
      </c>
      <c r="AE46" s="310"/>
      <c r="AF46" s="310"/>
      <c r="AG46" s="311"/>
      <c r="AH46" s="311"/>
      <c r="AI46" s="312"/>
      <c r="AJ46" s="310"/>
      <c r="AK46" s="314">
        <v>25023978.489</v>
      </c>
      <c r="AL46" s="314">
        <v>11882684.294</v>
      </c>
      <c r="AM46" s="314">
        <v>25023978.489</v>
      </c>
      <c r="AN46" s="314">
        <v>11882684.294</v>
      </c>
      <c r="AO46" s="314">
        <v>3576285</v>
      </c>
      <c r="AP46" s="314">
        <v>1734614</v>
      </c>
      <c r="AQ46" s="314">
        <v>1024727.5</v>
      </c>
      <c r="AR46" s="314">
        <v>130.977</v>
      </c>
      <c r="AS46" s="314">
        <v>63.07</v>
      </c>
      <c r="AT46" s="314">
        <v>7.5170000000000003</v>
      </c>
      <c r="AU46" s="314">
        <v>1487142.071</v>
      </c>
      <c r="AV46" s="314">
        <v>58531.394</v>
      </c>
      <c r="AW46" s="314">
        <v>5840.8630000000003</v>
      </c>
      <c r="AX46" s="314">
        <v>1488735.425</v>
      </c>
      <c r="AY46" s="315"/>
      <c r="AZ46" s="315">
        <v>7.2999999999999995E-2</v>
      </c>
      <c r="BA46" s="315">
        <v>7.2999999999999995E-2</v>
      </c>
      <c r="BB46" s="315">
        <v>4.0000000000000001E-3</v>
      </c>
      <c r="BC46" s="315">
        <v>831.66899999999998</v>
      </c>
      <c r="BD46" s="315">
        <v>1.6E-2</v>
      </c>
      <c r="BE46" s="315">
        <v>2E-3</v>
      </c>
      <c r="BF46" s="315">
        <v>832.56</v>
      </c>
      <c r="BG46" s="315"/>
      <c r="BH46" s="315">
        <v>0.01</v>
      </c>
      <c r="BI46" s="315">
        <v>1.0999999999999999E-2</v>
      </c>
      <c r="BJ46" s="315">
        <v>1E-3</v>
      </c>
      <c r="BK46" s="315">
        <v>118.857</v>
      </c>
      <c r="BL46" s="315">
        <v>2E-3</v>
      </c>
      <c r="BM46" s="315">
        <v>0</v>
      </c>
      <c r="BN46" s="315">
        <v>118.985</v>
      </c>
      <c r="BO46" s="315"/>
      <c r="BP46" s="315">
        <v>7.2999999999999995E-2</v>
      </c>
      <c r="BQ46" s="315">
        <v>7.2999999999999995E-2</v>
      </c>
      <c r="BR46" s="315">
        <v>4.0000000000000001E-3</v>
      </c>
      <c r="BS46" s="315">
        <v>831.66899999999998</v>
      </c>
      <c r="BT46" s="315">
        <v>1.6E-2</v>
      </c>
      <c r="BU46" s="315">
        <v>2E-3</v>
      </c>
      <c r="BV46" s="315">
        <v>832.56</v>
      </c>
      <c r="BW46" s="311"/>
      <c r="BX46" s="311">
        <v>130.977</v>
      </c>
      <c r="BY46" s="311">
        <v>63.07</v>
      </c>
      <c r="BZ46" s="311">
        <v>7.5170000000000003</v>
      </c>
      <c r="CA46" s="311">
        <v>1487142.071</v>
      </c>
      <c r="CB46" s="311">
        <v>58531.394</v>
      </c>
      <c r="CC46" s="311">
        <v>5840.8630000000003</v>
      </c>
      <c r="CD46" s="311">
        <v>1488735.425</v>
      </c>
      <c r="CE46" s="311"/>
      <c r="CF46" s="311">
        <v>25023978.489</v>
      </c>
      <c r="CG46" s="311">
        <v>11882684.294</v>
      </c>
      <c r="CH46" s="310">
        <v>25023978.489</v>
      </c>
      <c r="CI46" s="310">
        <v>11882684.294</v>
      </c>
      <c r="CJ46" s="310" t="s">
        <v>741</v>
      </c>
      <c r="CK46" s="310" t="s">
        <v>741</v>
      </c>
      <c r="CL46" s="310" t="s">
        <v>741</v>
      </c>
      <c r="CM46" s="310" t="s">
        <v>741</v>
      </c>
      <c r="CN46" s="310" t="s">
        <v>742</v>
      </c>
      <c r="CO46" s="310" t="s">
        <v>742</v>
      </c>
      <c r="CP46" s="310" t="s">
        <v>743</v>
      </c>
      <c r="CQ46" s="311" t="s">
        <v>744</v>
      </c>
      <c r="CR46" s="311" t="s">
        <v>741</v>
      </c>
      <c r="CS46" s="311" t="s">
        <v>741</v>
      </c>
      <c r="CT46" s="311"/>
      <c r="CU46" s="311"/>
      <c r="CV46" s="311"/>
      <c r="CW46" s="311"/>
      <c r="CX46" s="311"/>
      <c r="CY46" s="311"/>
      <c r="CZ46" s="311"/>
      <c r="DA46" s="311"/>
      <c r="DB46" s="311"/>
      <c r="DC46" s="311"/>
      <c r="DD46" s="311"/>
      <c r="DE46" s="316"/>
      <c r="DF46" s="314"/>
      <c r="DG46" s="314"/>
      <c r="DH46" s="314"/>
      <c r="DI46" s="314"/>
      <c r="DJ46" s="314">
        <v>6997.1991850000004</v>
      </c>
      <c r="DK46" s="314">
        <v>0</v>
      </c>
      <c r="DL46" s="314">
        <v>0</v>
      </c>
      <c r="DM46" s="314">
        <v>3576285</v>
      </c>
      <c r="DN46" s="314">
        <v>0</v>
      </c>
      <c r="DO46" s="314">
        <v>0</v>
      </c>
      <c r="DP46" s="314">
        <v>0</v>
      </c>
      <c r="DQ46" s="314">
        <v>0</v>
      </c>
      <c r="DR46" s="314">
        <v>0</v>
      </c>
      <c r="DS46" s="314">
        <v>0</v>
      </c>
      <c r="DT46" s="314">
        <v>0</v>
      </c>
      <c r="DU46" s="314">
        <v>0</v>
      </c>
      <c r="DV46" s="314">
        <v>3576285</v>
      </c>
      <c r="DW46" s="314">
        <v>0</v>
      </c>
      <c r="DX46" s="314">
        <v>0</v>
      </c>
      <c r="DY46" s="314">
        <v>0</v>
      </c>
      <c r="DZ46" s="314">
        <v>3576285</v>
      </c>
      <c r="EA46" s="314">
        <v>0</v>
      </c>
      <c r="EB46" s="314">
        <v>0</v>
      </c>
      <c r="EC46" s="317">
        <v>0</v>
      </c>
      <c r="ED46" s="317">
        <v>0</v>
      </c>
      <c r="EE46" s="317">
        <v>1</v>
      </c>
      <c r="EF46" s="317">
        <v>0</v>
      </c>
      <c r="EG46" s="317">
        <v>0</v>
      </c>
      <c r="EH46" s="317">
        <v>0</v>
      </c>
      <c r="EI46" s="317">
        <v>0</v>
      </c>
      <c r="EJ46" s="317">
        <v>0</v>
      </c>
      <c r="EK46" s="317">
        <v>0</v>
      </c>
      <c r="EL46" s="317">
        <v>0</v>
      </c>
      <c r="EM46" s="317">
        <v>0</v>
      </c>
      <c r="EN46" s="317">
        <v>1</v>
      </c>
      <c r="EO46" s="317">
        <v>0</v>
      </c>
      <c r="EP46" s="317">
        <v>0</v>
      </c>
      <c r="EQ46" s="317">
        <v>0</v>
      </c>
      <c r="ER46" s="317">
        <v>1</v>
      </c>
      <c r="ES46" s="317">
        <v>0</v>
      </c>
      <c r="ET46" s="317">
        <v>0</v>
      </c>
    </row>
    <row r="47" spans="1:150" x14ac:dyDescent="0.25">
      <c r="A47" s="310">
        <v>8409</v>
      </c>
      <c r="B47" s="310">
        <v>2023</v>
      </c>
      <c r="C47" s="310" t="s">
        <v>10</v>
      </c>
      <c r="D47" s="310" t="s">
        <v>764</v>
      </c>
      <c r="E47" s="310">
        <v>2454</v>
      </c>
      <c r="F47" s="310" t="s">
        <v>746</v>
      </c>
      <c r="G47" s="310">
        <v>17718</v>
      </c>
      <c r="H47" s="310" t="s">
        <v>746</v>
      </c>
      <c r="I47" s="310">
        <v>17718</v>
      </c>
      <c r="J47" s="310" t="s">
        <v>729</v>
      </c>
      <c r="K47" s="310" t="s">
        <v>749</v>
      </c>
      <c r="L47" s="310" t="s">
        <v>750</v>
      </c>
      <c r="M47" s="310" t="s">
        <v>751</v>
      </c>
      <c r="N47" s="310" t="s">
        <v>752</v>
      </c>
      <c r="O47" s="310" t="s">
        <v>753</v>
      </c>
      <c r="P47" s="310"/>
      <c r="Q47" s="310" t="s">
        <v>735</v>
      </c>
      <c r="R47" s="310" t="s">
        <v>754</v>
      </c>
      <c r="S47" s="310" t="s">
        <v>755</v>
      </c>
      <c r="T47" s="310">
        <v>32.713099999999997</v>
      </c>
      <c r="U47" s="310">
        <v>-103.3533</v>
      </c>
      <c r="V47" s="310" t="s">
        <v>738</v>
      </c>
      <c r="W47" s="311">
        <v>4</v>
      </c>
      <c r="X47" s="311">
        <v>4</v>
      </c>
      <c r="Y47" s="310" t="s">
        <v>58</v>
      </c>
      <c r="Z47" s="310" t="s">
        <v>756</v>
      </c>
      <c r="AA47" s="310"/>
      <c r="AB47" s="312">
        <v>0.28465000000000001</v>
      </c>
      <c r="AC47" s="313">
        <v>519.20000000000005</v>
      </c>
      <c r="AD47" s="312">
        <v>0.85892357519940499</v>
      </c>
      <c r="AE47" s="310"/>
      <c r="AF47" s="310"/>
      <c r="AG47" s="311"/>
      <c r="AH47" s="311"/>
      <c r="AI47" s="312"/>
      <c r="AJ47" s="310"/>
      <c r="AK47" s="314">
        <v>16052316.263</v>
      </c>
      <c r="AL47" s="314">
        <v>7093567.568</v>
      </c>
      <c r="AM47" s="314">
        <v>16052316.263</v>
      </c>
      <c r="AN47" s="314">
        <v>7093567.568</v>
      </c>
      <c r="AO47" s="314">
        <v>1294624</v>
      </c>
      <c r="AP47" s="314">
        <v>470950</v>
      </c>
      <c r="AQ47" s="314">
        <v>1111983.075</v>
      </c>
      <c r="AR47" s="314">
        <v>810.12099999999998</v>
      </c>
      <c r="AS47" s="314">
        <v>265.89600000000002</v>
      </c>
      <c r="AT47" s="314">
        <v>4.851</v>
      </c>
      <c r="AU47" s="314">
        <v>953967.99199999997</v>
      </c>
      <c r="AV47" s="314">
        <v>31963.262999999999</v>
      </c>
      <c r="AW47" s="314">
        <v>3189.6219999999998</v>
      </c>
      <c r="AX47" s="314">
        <v>954838.103</v>
      </c>
      <c r="AY47" s="315"/>
      <c r="AZ47" s="315">
        <v>1.252</v>
      </c>
      <c r="BA47" s="315">
        <v>1.129</v>
      </c>
      <c r="BB47" s="315">
        <v>7.0000000000000001E-3</v>
      </c>
      <c r="BC47" s="315">
        <v>1473.7380000000001</v>
      </c>
      <c r="BD47" s="315">
        <v>2.5000000000000001E-2</v>
      </c>
      <c r="BE47" s="315">
        <v>2E-3</v>
      </c>
      <c r="BF47" s="315">
        <v>1475.0820000000001</v>
      </c>
      <c r="BG47" s="315"/>
      <c r="BH47" s="315">
        <v>0.10100000000000001</v>
      </c>
      <c r="BI47" s="315">
        <v>7.4999999999999997E-2</v>
      </c>
      <c r="BJ47" s="315">
        <v>1E-3</v>
      </c>
      <c r="BK47" s="315">
        <v>118.857</v>
      </c>
      <c r="BL47" s="315">
        <v>2E-3</v>
      </c>
      <c r="BM47" s="315">
        <v>0</v>
      </c>
      <c r="BN47" s="315">
        <v>118.96599999999999</v>
      </c>
      <c r="BO47" s="315"/>
      <c r="BP47" s="315">
        <v>1.252</v>
      </c>
      <c r="BQ47" s="315">
        <v>1.129</v>
      </c>
      <c r="BR47" s="315">
        <v>7.0000000000000001E-3</v>
      </c>
      <c r="BS47" s="315">
        <v>1473.7380000000001</v>
      </c>
      <c r="BT47" s="315">
        <v>2.5000000000000001E-2</v>
      </c>
      <c r="BU47" s="315">
        <v>2E-3</v>
      </c>
      <c r="BV47" s="315">
        <v>1475.0820000000001</v>
      </c>
      <c r="BW47" s="311"/>
      <c r="BX47" s="311">
        <v>810.12099999999998</v>
      </c>
      <c r="BY47" s="311">
        <v>265.89600000000002</v>
      </c>
      <c r="BZ47" s="311">
        <v>4.851</v>
      </c>
      <c r="CA47" s="311">
        <v>953967.99199999997</v>
      </c>
      <c r="CB47" s="311">
        <v>31963.262999999999</v>
      </c>
      <c r="CC47" s="311">
        <v>3189.6219999999998</v>
      </c>
      <c r="CD47" s="311">
        <v>954838.103</v>
      </c>
      <c r="CE47" s="311"/>
      <c r="CF47" s="311">
        <v>16052316.263</v>
      </c>
      <c r="CG47" s="311">
        <v>7093567.568</v>
      </c>
      <c r="CH47" s="310">
        <v>16052316.263</v>
      </c>
      <c r="CI47" s="310">
        <v>7093567.568</v>
      </c>
      <c r="CJ47" s="310" t="s">
        <v>741</v>
      </c>
      <c r="CK47" s="310" t="s">
        <v>741</v>
      </c>
      <c r="CL47" s="310" t="s">
        <v>741</v>
      </c>
      <c r="CM47" s="310" t="s">
        <v>741</v>
      </c>
      <c r="CN47" s="310" t="s">
        <v>742</v>
      </c>
      <c r="CO47" s="310" t="s">
        <v>742</v>
      </c>
      <c r="CP47" s="310" t="s">
        <v>743</v>
      </c>
      <c r="CQ47" s="311" t="s">
        <v>744</v>
      </c>
      <c r="CR47" s="311" t="s">
        <v>741</v>
      </c>
      <c r="CS47" s="311" t="s">
        <v>741</v>
      </c>
      <c r="CT47" s="311"/>
      <c r="CU47" s="311"/>
      <c r="CV47" s="311"/>
      <c r="CW47" s="311"/>
      <c r="CX47" s="311"/>
      <c r="CY47" s="311"/>
      <c r="CZ47" s="311"/>
      <c r="DA47" s="311"/>
      <c r="DB47" s="311"/>
      <c r="DC47" s="311"/>
      <c r="DD47" s="311"/>
      <c r="DE47" s="316"/>
      <c r="DF47" s="314"/>
      <c r="DG47" s="314"/>
      <c r="DH47" s="314"/>
      <c r="DI47" s="314"/>
      <c r="DJ47" s="314">
        <v>12399.211094</v>
      </c>
      <c r="DK47" s="314">
        <v>0</v>
      </c>
      <c r="DL47" s="314">
        <v>0</v>
      </c>
      <c r="DM47" s="314">
        <v>1294624</v>
      </c>
      <c r="DN47" s="314">
        <v>0</v>
      </c>
      <c r="DO47" s="314">
        <v>0</v>
      </c>
      <c r="DP47" s="314">
        <v>0</v>
      </c>
      <c r="DQ47" s="314">
        <v>0</v>
      </c>
      <c r="DR47" s="314">
        <v>0</v>
      </c>
      <c r="DS47" s="314">
        <v>0</v>
      </c>
      <c r="DT47" s="314">
        <v>0</v>
      </c>
      <c r="DU47" s="314">
        <v>0</v>
      </c>
      <c r="DV47" s="314">
        <v>1294624</v>
      </c>
      <c r="DW47" s="314">
        <v>0</v>
      </c>
      <c r="DX47" s="314">
        <v>0</v>
      </c>
      <c r="DY47" s="314">
        <v>0</v>
      </c>
      <c r="DZ47" s="314">
        <v>1294624</v>
      </c>
      <c r="EA47" s="314">
        <v>0</v>
      </c>
      <c r="EB47" s="314">
        <v>0</v>
      </c>
      <c r="EC47" s="317">
        <v>0</v>
      </c>
      <c r="ED47" s="317">
        <v>0</v>
      </c>
      <c r="EE47" s="317">
        <v>1</v>
      </c>
      <c r="EF47" s="317">
        <v>0</v>
      </c>
      <c r="EG47" s="317">
        <v>0</v>
      </c>
      <c r="EH47" s="317">
        <v>0</v>
      </c>
      <c r="EI47" s="317">
        <v>0</v>
      </c>
      <c r="EJ47" s="317">
        <v>0</v>
      </c>
      <c r="EK47" s="317">
        <v>0</v>
      </c>
      <c r="EL47" s="317">
        <v>0</v>
      </c>
      <c r="EM47" s="317">
        <v>0</v>
      </c>
      <c r="EN47" s="317">
        <v>1</v>
      </c>
      <c r="EO47" s="317">
        <v>0</v>
      </c>
      <c r="EP47" s="317">
        <v>0</v>
      </c>
      <c r="EQ47" s="317">
        <v>0</v>
      </c>
      <c r="ER47" s="317">
        <v>1</v>
      </c>
      <c r="ES47" s="317">
        <v>0</v>
      </c>
      <c r="ET47" s="317">
        <v>0</v>
      </c>
    </row>
    <row r="48" spans="1:150" x14ac:dyDescent="0.25">
      <c r="A48" s="310">
        <v>8372</v>
      </c>
      <c r="B48" s="310">
        <v>2023</v>
      </c>
      <c r="C48" s="310" t="s">
        <v>10</v>
      </c>
      <c r="D48" s="310" t="s">
        <v>765</v>
      </c>
      <c r="E48" s="310">
        <v>55210</v>
      </c>
      <c r="F48" s="310" t="s">
        <v>758</v>
      </c>
      <c r="G48" s="310">
        <v>5701</v>
      </c>
      <c r="H48" s="310" t="s">
        <v>759</v>
      </c>
      <c r="I48" s="310">
        <v>15473</v>
      </c>
      <c r="J48" s="310" t="s">
        <v>729</v>
      </c>
      <c r="K48" s="310" t="s">
        <v>760</v>
      </c>
      <c r="L48" s="310" t="s">
        <v>761</v>
      </c>
      <c r="M48" s="310" t="s">
        <v>732</v>
      </c>
      <c r="N48" s="310" t="s">
        <v>733</v>
      </c>
      <c r="O48" s="310" t="s">
        <v>734</v>
      </c>
      <c r="P48" s="310"/>
      <c r="Q48" s="310" t="s">
        <v>735</v>
      </c>
      <c r="R48" s="310" t="s">
        <v>766</v>
      </c>
      <c r="S48" s="310" t="s">
        <v>767</v>
      </c>
      <c r="T48" s="310">
        <v>32.114184999999999</v>
      </c>
      <c r="U48" s="310">
        <v>-106.84648300000001</v>
      </c>
      <c r="V48" s="310" t="s">
        <v>738</v>
      </c>
      <c r="W48" s="311">
        <v>1</v>
      </c>
      <c r="X48" s="311">
        <v>2</v>
      </c>
      <c r="Y48" s="310" t="s">
        <v>58</v>
      </c>
      <c r="Z48" s="310" t="s">
        <v>756</v>
      </c>
      <c r="AA48" s="310"/>
      <c r="AB48" s="312">
        <v>0.57057000000000002</v>
      </c>
      <c r="AC48" s="313">
        <v>287</v>
      </c>
      <c r="AD48" s="312">
        <v>0.38238429351025399</v>
      </c>
      <c r="AE48" s="310"/>
      <c r="AF48" s="310"/>
      <c r="AG48" s="311"/>
      <c r="AH48" s="311"/>
      <c r="AI48" s="312"/>
      <c r="AJ48" s="310"/>
      <c r="AK48" s="314">
        <v>10627917.971999999</v>
      </c>
      <c r="AL48" s="314">
        <v>4389004.4349999996</v>
      </c>
      <c r="AM48" s="314">
        <v>10627917.971999999</v>
      </c>
      <c r="AN48" s="314">
        <v>4389004.4349999996</v>
      </c>
      <c r="AO48" s="314">
        <v>1434480</v>
      </c>
      <c r="AP48" s="314">
        <v>586412</v>
      </c>
      <c r="AQ48" s="314">
        <v>548522.62100000004</v>
      </c>
      <c r="AR48" s="314">
        <v>83.366</v>
      </c>
      <c r="AS48" s="314">
        <v>33.606000000000002</v>
      </c>
      <c r="AT48" s="314">
        <v>3.1829999999999998</v>
      </c>
      <c r="AU48" s="314">
        <v>631597.33200000005</v>
      </c>
      <c r="AV48" s="314">
        <v>24021.252</v>
      </c>
      <c r="AW48" s="314">
        <v>2397.087</v>
      </c>
      <c r="AX48" s="314">
        <v>632251.24399999995</v>
      </c>
      <c r="AY48" s="315"/>
      <c r="AZ48" s="315">
        <v>0.11600000000000001</v>
      </c>
      <c r="BA48" s="315">
        <v>0.115</v>
      </c>
      <c r="BB48" s="315">
        <v>4.0000000000000001E-3</v>
      </c>
      <c r="BC48" s="315">
        <v>880.59400000000005</v>
      </c>
      <c r="BD48" s="315">
        <v>1.7000000000000001E-2</v>
      </c>
      <c r="BE48" s="315">
        <v>2E-3</v>
      </c>
      <c r="BF48" s="315">
        <v>881.50599999999997</v>
      </c>
      <c r="BG48" s="315"/>
      <c r="BH48" s="315">
        <v>1.6E-2</v>
      </c>
      <c r="BI48" s="315">
        <v>1.4999999999999999E-2</v>
      </c>
      <c r="BJ48" s="315">
        <v>1E-3</v>
      </c>
      <c r="BK48" s="315">
        <v>118.85599999999999</v>
      </c>
      <c r="BL48" s="315">
        <v>2E-3</v>
      </c>
      <c r="BM48" s="315">
        <v>0</v>
      </c>
      <c r="BN48" s="315">
        <v>118.979</v>
      </c>
      <c r="BO48" s="315"/>
      <c r="BP48" s="315">
        <v>0.11600000000000001</v>
      </c>
      <c r="BQ48" s="315">
        <v>0.115</v>
      </c>
      <c r="BR48" s="315">
        <v>4.0000000000000001E-3</v>
      </c>
      <c r="BS48" s="315">
        <v>880.59400000000005</v>
      </c>
      <c r="BT48" s="315">
        <v>1.7000000000000001E-2</v>
      </c>
      <c r="BU48" s="315">
        <v>2E-3</v>
      </c>
      <c r="BV48" s="315">
        <v>881.50599999999997</v>
      </c>
      <c r="BW48" s="311"/>
      <c r="BX48" s="311">
        <v>83.366</v>
      </c>
      <c r="BY48" s="311">
        <v>33.606000000000002</v>
      </c>
      <c r="BZ48" s="311">
        <v>3.1829999999999998</v>
      </c>
      <c r="CA48" s="311">
        <v>631597.33200000005</v>
      </c>
      <c r="CB48" s="311">
        <v>24021.252</v>
      </c>
      <c r="CC48" s="311">
        <v>2397.087</v>
      </c>
      <c r="CD48" s="311">
        <v>632251.24399999995</v>
      </c>
      <c r="CE48" s="311"/>
      <c r="CF48" s="311">
        <v>10627917.971999999</v>
      </c>
      <c r="CG48" s="311">
        <v>4389004.4349999996</v>
      </c>
      <c r="CH48" s="310">
        <v>10627917.971999999</v>
      </c>
      <c r="CI48" s="310">
        <v>4389004.4349999996</v>
      </c>
      <c r="CJ48" s="310" t="s">
        <v>741</v>
      </c>
      <c r="CK48" s="310" t="s">
        <v>741</v>
      </c>
      <c r="CL48" s="310" t="s">
        <v>741</v>
      </c>
      <c r="CM48" s="310" t="s">
        <v>741</v>
      </c>
      <c r="CN48" s="310" t="s">
        <v>742</v>
      </c>
      <c r="CO48" s="310" t="s">
        <v>742</v>
      </c>
      <c r="CP48" s="310" t="s">
        <v>743</v>
      </c>
      <c r="CQ48" s="311" t="s">
        <v>744</v>
      </c>
      <c r="CR48" s="311" t="s">
        <v>741</v>
      </c>
      <c r="CS48" s="311" t="s">
        <v>741</v>
      </c>
      <c r="CT48" s="311"/>
      <c r="CU48" s="311"/>
      <c r="CV48" s="311"/>
      <c r="CW48" s="311"/>
      <c r="CX48" s="311"/>
      <c r="CY48" s="311"/>
      <c r="CZ48" s="311"/>
      <c r="DA48" s="311"/>
      <c r="DB48" s="311"/>
      <c r="DC48" s="311"/>
      <c r="DD48" s="311"/>
      <c r="DE48" s="316"/>
      <c r="DF48" s="314"/>
      <c r="DG48" s="314"/>
      <c r="DH48" s="314"/>
      <c r="DI48" s="314"/>
      <c r="DJ48" s="314">
        <v>7408.8993730000002</v>
      </c>
      <c r="DK48" s="314">
        <v>0</v>
      </c>
      <c r="DL48" s="314">
        <v>0</v>
      </c>
      <c r="DM48" s="314">
        <v>1434480</v>
      </c>
      <c r="DN48" s="314">
        <v>0</v>
      </c>
      <c r="DO48" s="314">
        <v>0</v>
      </c>
      <c r="DP48" s="314">
        <v>0</v>
      </c>
      <c r="DQ48" s="314">
        <v>0</v>
      </c>
      <c r="DR48" s="314">
        <v>0</v>
      </c>
      <c r="DS48" s="314">
        <v>0</v>
      </c>
      <c r="DT48" s="314">
        <v>0</v>
      </c>
      <c r="DU48" s="314">
        <v>0</v>
      </c>
      <c r="DV48" s="314">
        <v>1434480</v>
      </c>
      <c r="DW48" s="314">
        <v>0</v>
      </c>
      <c r="DX48" s="314">
        <v>0</v>
      </c>
      <c r="DY48" s="314">
        <v>0</v>
      </c>
      <c r="DZ48" s="314">
        <v>1434480</v>
      </c>
      <c r="EA48" s="314">
        <v>0</v>
      </c>
      <c r="EB48" s="314">
        <v>0</v>
      </c>
      <c r="EC48" s="317">
        <v>0</v>
      </c>
      <c r="ED48" s="317">
        <v>0</v>
      </c>
      <c r="EE48" s="317">
        <v>1</v>
      </c>
      <c r="EF48" s="317">
        <v>0</v>
      </c>
      <c r="EG48" s="317">
        <v>0</v>
      </c>
      <c r="EH48" s="317">
        <v>0</v>
      </c>
      <c r="EI48" s="317">
        <v>0</v>
      </c>
      <c r="EJ48" s="317">
        <v>0</v>
      </c>
      <c r="EK48" s="317">
        <v>0</v>
      </c>
      <c r="EL48" s="317">
        <v>0</v>
      </c>
      <c r="EM48" s="317">
        <v>0</v>
      </c>
      <c r="EN48" s="317">
        <v>1</v>
      </c>
      <c r="EO48" s="317">
        <v>0</v>
      </c>
      <c r="EP48" s="317">
        <v>0</v>
      </c>
      <c r="EQ48" s="317">
        <v>0</v>
      </c>
      <c r="ER48" s="317">
        <v>1</v>
      </c>
      <c r="ES48" s="317">
        <v>0</v>
      </c>
      <c r="ET48" s="317">
        <v>0</v>
      </c>
    </row>
    <row r="49" spans="1:150" x14ac:dyDescent="0.25">
      <c r="A49" s="310">
        <v>8469</v>
      </c>
      <c r="B49" s="310">
        <v>2023</v>
      </c>
      <c r="C49" s="310" t="s">
        <v>10</v>
      </c>
      <c r="D49" s="310" t="s">
        <v>768</v>
      </c>
      <c r="E49" s="310">
        <v>2444</v>
      </c>
      <c r="F49" s="310" t="s">
        <v>758</v>
      </c>
      <c r="G49" s="310">
        <v>5701</v>
      </c>
      <c r="H49" s="310" t="s">
        <v>758</v>
      </c>
      <c r="I49" s="310">
        <v>5701</v>
      </c>
      <c r="J49" s="310" t="s">
        <v>729</v>
      </c>
      <c r="K49" s="310" t="s">
        <v>769</v>
      </c>
      <c r="L49" s="310" t="s">
        <v>770</v>
      </c>
      <c r="M49" s="310" t="s">
        <v>732</v>
      </c>
      <c r="N49" s="310" t="s">
        <v>733</v>
      </c>
      <c r="O49" s="310" t="s">
        <v>734</v>
      </c>
      <c r="P49" s="310"/>
      <c r="Q49" s="310" t="s">
        <v>735</v>
      </c>
      <c r="R49" s="310" t="s">
        <v>766</v>
      </c>
      <c r="S49" s="310" t="s">
        <v>767</v>
      </c>
      <c r="T49" s="310">
        <v>31.8047</v>
      </c>
      <c r="U49" s="310">
        <v>-106.5472</v>
      </c>
      <c r="V49" s="310" t="s">
        <v>738</v>
      </c>
      <c r="W49" s="311">
        <v>4</v>
      </c>
      <c r="X49" s="311">
        <v>4</v>
      </c>
      <c r="Y49" s="310" t="s">
        <v>58</v>
      </c>
      <c r="Z49" s="310" t="s">
        <v>756</v>
      </c>
      <c r="AA49" s="310"/>
      <c r="AB49" s="312">
        <v>0.25652999999999998</v>
      </c>
      <c r="AC49" s="313">
        <v>398.3</v>
      </c>
      <c r="AD49" s="312">
        <v>0.90578088535331502</v>
      </c>
      <c r="AE49" s="310"/>
      <c r="AF49" s="310"/>
      <c r="AG49" s="311"/>
      <c r="AH49" s="311"/>
      <c r="AI49" s="312"/>
      <c r="AJ49" s="310"/>
      <c r="AK49" s="314">
        <v>9873518.0380000006</v>
      </c>
      <c r="AL49" s="314">
        <v>5788492.5930000003</v>
      </c>
      <c r="AM49" s="314">
        <v>9873518.0380000006</v>
      </c>
      <c r="AN49" s="314">
        <v>5788492.5930000003</v>
      </c>
      <c r="AO49" s="314">
        <v>895066</v>
      </c>
      <c r="AP49" s="314">
        <v>516909</v>
      </c>
      <c r="AQ49" s="314">
        <v>810733.674</v>
      </c>
      <c r="AR49" s="314">
        <v>969.34299999999996</v>
      </c>
      <c r="AS49" s="314">
        <v>541.26499999999999</v>
      </c>
      <c r="AT49" s="314">
        <v>1.3480000000000001</v>
      </c>
      <c r="AU49" s="314">
        <v>586780.39199999999</v>
      </c>
      <c r="AV49" s="314">
        <v>22083.407999999999</v>
      </c>
      <c r="AW49" s="314">
        <v>2203.7089999999998</v>
      </c>
      <c r="AX49" s="314">
        <v>587381.55099999998</v>
      </c>
      <c r="AY49" s="315"/>
      <c r="AZ49" s="315">
        <v>2.1659999999999999</v>
      </c>
      <c r="BA49" s="315">
        <v>2.0939999999999999</v>
      </c>
      <c r="BB49" s="315">
        <v>3.0000000000000001E-3</v>
      </c>
      <c r="BC49" s="315">
        <v>1311.144</v>
      </c>
      <c r="BD49" s="315">
        <v>2.5000000000000001E-2</v>
      </c>
      <c r="BE49" s="315">
        <v>2E-3</v>
      </c>
      <c r="BF49" s="315">
        <v>1312.4880000000001</v>
      </c>
      <c r="BG49" s="315"/>
      <c r="BH49" s="315">
        <v>0.19600000000000001</v>
      </c>
      <c r="BI49" s="315">
        <v>0.187</v>
      </c>
      <c r="BJ49" s="315">
        <v>0</v>
      </c>
      <c r="BK49" s="315">
        <v>118.85899999999999</v>
      </c>
      <c r="BL49" s="315">
        <v>2E-3</v>
      </c>
      <c r="BM49" s="315">
        <v>0</v>
      </c>
      <c r="BN49" s="315">
        <v>118.98099999999999</v>
      </c>
      <c r="BO49" s="315"/>
      <c r="BP49" s="315">
        <v>2.1659999999999999</v>
      </c>
      <c r="BQ49" s="315">
        <v>2.0939999999999999</v>
      </c>
      <c r="BR49" s="315">
        <v>3.0000000000000001E-3</v>
      </c>
      <c r="BS49" s="315">
        <v>1311.144</v>
      </c>
      <c r="BT49" s="315">
        <v>2.5000000000000001E-2</v>
      </c>
      <c r="BU49" s="315">
        <v>2E-3</v>
      </c>
      <c r="BV49" s="315">
        <v>1312.4880000000001</v>
      </c>
      <c r="BW49" s="311"/>
      <c r="BX49" s="311">
        <v>969.34299999999996</v>
      </c>
      <c r="BY49" s="311">
        <v>541.26499999999999</v>
      </c>
      <c r="BZ49" s="311">
        <v>1.3480000000000001</v>
      </c>
      <c r="CA49" s="311">
        <v>586780.39199999999</v>
      </c>
      <c r="CB49" s="311">
        <v>22083.407999999999</v>
      </c>
      <c r="CC49" s="311">
        <v>2203.7089999999998</v>
      </c>
      <c r="CD49" s="311">
        <v>587381.55099999998</v>
      </c>
      <c r="CE49" s="311"/>
      <c r="CF49" s="311">
        <v>9873518.0380000006</v>
      </c>
      <c r="CG49" s="311">
        <v>5788492.5930000003</v>
      </c>
      <c r="CH49" s="310">
        <v>9873518.0380000006</v>
      </c>
      <c r="CI49" s="310">
        <v>5788492.5930000003</v>
      </c>
      <c r="CJ49" s="310" t="s">
        <v>741</v>
      </c>
      <c r="CK49" s="310" t="s">
        <v>741</v>
      </c>
      <c r="CL49" s="310" t="s">
        <v>741</v>
      </c>
      <c r="CM49" s="310" t="s">
        <v>741</v>
      </c>
      <c r="CN49" s="310" t="s">
        <v>742</v>
      </c>
      <c r="CO49" s="310" t="s">
        <v>742</v>
      </c>
      <c r="CP49" s="310" t="s">
        <v>743</v>
      </c>
      <c r="CQ49" s="311" t="s">
        <v>744</v>
      </c>
      <c r="CR49" s="311" t="s">
        <v>741</v>
      </c>
      <c r="CS49" s="311" t="s">
        <v>741</v>
      </c>
      <c r="CT49" s="311"/>
      <c r="CU49" s="311"/>
      <c r="CV49" s="311"/>
      <c r="CW49" s="311"/>
      <c r="CX49" s="311"/>
      <c r="CY49" s="311"/>
      <c r="CZ49" s="311"/>
      <c r="DA49" s="311"/>
      <c r="DB49" s="311"/>
      <c r="DC49" s="311"/>
      <c r="DD49" s="311"/>
      <c r="DE49" s="316"/>
      <c r="DF49" s="314"/>
      <c r="DG49" s="314"/>
      <c r="DH49" s="314"/>
      <c r="DI49" s="314"/>
      <c r="DJ49" s="314">
        <v>11031.050267000001</v>
      </c>
      <c r="DK49" s="314">
        <v>0</v>
      </c>
      <c r="DL49" s="314">
        <v>0</v>
      </c>
      <c r="DM49" s="314">
        <v>895066</v>
      </c>
      <c r="DN49" s="314">
        <v>0</v>
      </c>
      <c r="DO49" s="314">
        <v>0</v>
      </c>
      <c r="DP49" s="314">
        <v>0</v>
      </c>
      <c r="DQ49" s="314">
        <v>0</v>
      </c>
      <c r="DR49" s="314">
        <v>0</v>
      </c>
      <c r="DS49" s="314">
        <v>0</v>
      </c>
      <c r="DT49" s="314">
        <v>0</v>
      </c>
      <c r="DU49" s="314">
        <v>0</v>
      </c>
      <c r="DV49" s="314">
        <v>895066</v>
      </c>
      <c r="DW49" s="314">
        <v>0</v>
      </c>
      <c r="DX49" s="314">
        <v>0</v>
      </c>
      <c r="DY49" s="314">
        <v>0</v>
      </c>
      <c r="DZ49" s="314">
        <v>895066</v>
      </c>
      <c r="EA49" s="314">
        <v>0</v>
      </c>
      <c r="EB49" s="314">
        <v>0</v>
      </c>
      <c r="EC49" s="317">
        <v>0</v>
      </c>
      <c r="ED49" s="317">
        <v>0</v>
      </c>
      <c r="EE49" s="317">
        <v>1</v>
      </c>
      <c r="EF49" s="317">
        <v>0</v>
      </c>
      <c r="EG49" s="317">
        <v>0</v>
      </c>
      <c r="EH49" s="317">
        <v>0</v>
      </c>
      <c r="EI49" s="317">
        <v>0</v>
      </c>
      <c r="EJ49" s="317">
        <v>0</v>
      </c>
      <c r="EK49" s="317">
        <v>0</v>
      </c>
      <c r="EL49" s="317">
        <v>0</v>
      </c>
      <c r="EM49" s="317">
        <v>0</v>
      </c>
      <c r="EN49" s="317">
        <v>1</v>
      </c>
      <c r="EO49" s="317">
        <v>0</v>
      </c>
      <c r="EP49" s="317">
        <v>0</v>
      </c>
      <c r="EQ49" s="317">
        <v>0</v>
      </c>
      <c r="ER49" s="317">
        <v>1</v>
      </c>
      <c r="ES49" s="317">
        <v>0</v>
      </c>
      <c r="ET49" s="317">
        <v>0</v>
      </c>
    </row>
    <row r="50" spans="1:150" x14ac:dyDescent="0.25">
      <c r="A50" s="310">
        <v>8466</v>
      </c>
      <c r="B50" s="310">
        <v>2023</v>
      </c>
      <c r="C50" s="310" t="s">
        <v>10</v>
      </c>
      <c r="D50" s="310" t="s">
        <v>771</v>
      </c>
      <c r="E50" s="310">
        <v>55039</v>
      </c>
      <c r="F50" s="310" t="s">
        <v>759</v>
      </c>
      <c r="G50" s="310">
        <v>15473</v>
      </c>
      <c r="H50" s="310" t="s">
        <v>759</v>
      </c>
      <c r="I50" s="310">
        <v>15473</v>
      </c>
      <c r="J50" s="310" t="s">
        <v>729</v>
      </c>
      <c r="K50" s="310" t="s">
        <v>760</v>
      </c>
      <c r="L50" s="310" t="s">
        <v>761</v>
      </c>
      <c r="M50" s="310" t="s">
        <v>732</v>
      </c>
      <c r="N50" s="310" t="s">
        <v>733</v>
      </c>
      <c r="O50" s="310" t="s">
        <v>734</v>
      </c>
      <c r="P50" s="310"/>
      <c r="Q50" s="310" t="s">
        <v>735</v>
      </c>
      <c r="R50" s="310" t="s">
        <v>772</v>
      </c>
      <c r="S50" s="310" t="s">
        <v>773</v>
      </c>
      <c r="T50" s="310">
        <v>35.026000000000003</v>
      </c>
      <c r="U50" s="310">
        <v>-106.64400000000001</v>
      </c>
      <c r="V50" s="310" t="s">
        <v>738</v>
      </c>
      <c r="W50" s="311">
        <v>1</v>
      </c>
      <c r="X50" s="311">
        <v>1</v>
      </c>
      <c r="Y50" s="310" t="s">
        <v>58</v>
      </c>
      <c r="Z50" s="310" t="s">
        <v>756</v>
      </c>
      <c r="AA50" s="310"/>
      <c r="AB50" s="312">
        <v>0.42030000000000001</v>
      </c>
      <c r="AC50" s="313">
        <v>150</v>
      </c>
      <c r="AD50" s="312">
        <v>0.63282723871131397</v>
      </c>
      <c r="AE50" s="310"/>
      <c r="AF50" s="310"/>
      <c r="AG50" s="311"/>
      <c r="AH50" s="311"/>
      <c r="AI50" s="312"/>
      <c r="AJ50" s="310"/>
      <c r="AK50" s="314">
        <v>6408585.6689999998</v>
      </c>
      <c r="AL50" s="314">
        <v>2939150.0449999999</v>
      </c>
      <c r="AM50" s="314">
        <v>6408585.6689999998</v>
      </c>
      <c r="AN50" s="314">
        <v>2939150.0449999999</v>
      </c>
      <c r="AO50" s="314">
        <v>552279.005</v>
      </c>
      <c r="AP50" s="314">
        <v>253290.03</v>
      </c>
      <c r="AQ50" s="314">
        <v>349497.19799999997</v>
      </c>
      <c r="AR50" s="314">
        <v>118.35599999999999</v>
      </c>
      <c r="AS50" s="314">
        <v>52.106999999999999</v>
      </c>
      <c r="AT50" s="314">
        <v>1.9370000000000001</v>
      </c>
      <c r="AU50" s="314">
        <v>380916.68699999998</v>
      </c>
      <c r="AV50" s="314">
        <v>14354.602000000001</v>
      </c>
      <c r="AW50" s="314">
        <v>1434.481</v>
      </c>
      <c r="AX50" s="314">
        <v>381307.72</v>
      </c>
      <c r="AY50" s="315"/>
      <c r="AZ50" s="315">
        <v>0.42899999999999999</v>
      </c>
      <c r="BA50" s="315">
        <v>0.41099999999999998</v>
      </c>
      <c r="BB50" s="315">
        <v>7.0000000000000001E-3</v>
      </c>
      <c r="BC50" s="315">
        <v>1379.4359999999999</v>
      </c>
      <c r="BD50" s="315">
        <v>2.5999999999999999E-2</v>
      </c>
      <c r="BE50" s="315">
        <v>3.0000000000000001E-3</v>
      </c>
      <c r="BF50" s="315">
        <v>1380.8520000000001</v>
      </c>
      <c r="BG50" s="315"/>
      <c r="BH50" s="315">
        <v>3.6999999999999998E-2</v>
      </c>
      <c r="BI50" s="315">
        <v>3.5000000000000003E-2</v>
      </c>
      <c r="BJ50" s="315">
        <v>1E-3</v>
      </c>
      <c r="BK50" s="315">
        <v>118.877</v>
      </c>
      <c r="BL50" s="315">
        <v>2E-3</v>
      </c>
      <c r="BM50" s="315">
        <v>0</v>
      </c>
      <c r="BN50" s="315">
        <v>118.999</v>
      </c>
      <c r="BO50" s="315"/>
      <c r="BP50" s="315">
        <v>0.42899999999999999</v>
      </c>
      <c r="BQ50" s="315">
        <v>0.41099999999999998</v>
      </c>
      <c r="BR50" s="315">
        <v>7.0000000000000001E-3</v>
      </c>
      <c r="BS50" s="315">
        <v>1379.4359999999999</v>
      </c>
      <c r="BT50" s="315">
        <v>2.5999999999999999E-2</v>
      </c>
      <c r="BU50" s="315">
        <v>3.0000000000000001E-3</v>
      </c>
      <c r="BV50" s="315">
        <v>1380.8520000000001</v>
      </c>
      <c r="BW50" s="311"/>
      <c r="BX50" s="311">
        <v>118.35599999999999</v>
      </c>
      <c r="BY50" s="311">
        <v>52.106999999999999</v>
      </c>
      <c r="BZ50" s="311">
        <v>1.9370000000000001</v>
      </c>
      <c r="CA50" s="311">
        <v>380916.68699999998</v>
      </c>
      <c r="CB50" s="311">
        <v>14354.602000000001</v>
      </c>
      <c r="CC50" s="311">
        <v>1434.481</v>
      </c>
      <c r="CD50" s="311">
        <v>381307.72</v>
      </c>
      <c r="CE50" s="311"/>
      <c r="CF50" s="311">
        <v>6408585.6689999998</v>
      </c>
      <c r="CG50" s="311">
        <v>2939150.0449999999</v>
      </c>
      <c r="CH50" s="310">
        <v>6408585.6689999998</v>
      </c>
      <c r="CI50" s="310">
        <v>2939150.0449999999</v>
      </c>
      <c r="CJ50" s="310" t="s">
        <v>741</v>
      </c>
      <c r="CK50" s="310" t="s">
        <v>741</v>
      </c>
      <c r="CL50" s="310" t="s">
        <v>741</v>
      </c>
      <c r="CM50" s="310" t="s">
        <v>741</v>
      </c>
      <c r="CN50" s="310" t="s">
        <v>742</v>
      </c>
      <c r="CO50" s="310" t="s">
        <v>742</v>
      </c>
      <c r="CP50" s="310" t="s">
        <v>743</v>
      </c>
      <c r="CQ50" s="311" t="s">
        <v>744</v>
      </c>
      <c r="CR50" s="311" t="s">
        <v>741</v>
      </c>
      <c r="CS50" s="311" t="s">
        <v>741</v>
      </c>
      <c r="CT50" s="311"/>
      <c r="CU50" s="311"/>
      <c r="CV50" s="311"/>
      <c r="CW50" s="311"/>
      <c r="CX50" s="311"/>
      <c r="CY50" s="311"/>
      <c r="CZ50" s="311"/>
      <c r="DA50" s="311"/>
      <c r="DB50" s="311"/>
      <c r="DC50" s="311"/>
      <c r="DD50" s="311"/>
      <c r="DE50" s="316"/>
      <c r="DF50" s="314"/>
      <c r="DG50" s="314"/>
      <c r="DH50" s="314"/>
      <c r="DI50" s="314"/>
      <c r="DJ50" s="314">
        <v>11603.891530999999</v>
      </c>
      <c r="DK50" s="314">
        <v>0</v>
      </c>
      <c r="DL50" s="314">
        <v>260.125</v>
      </c>
      <c r="DM50" s="314">
        <v>552018.88</v>
      </c>
      <c r="DN50" s="314">
        <v>0</v>
      </c>
      <c r="DO50" s="314">
        <v>0</v>
      </c>
      <c r="DP50" s="314">
        <v>0</v>
      </c>
      <c r="DQ50" s="314">
        <v>0</v>
      </c>
      <c r="DR50" s="314">
        <v>0</v>
      </c>
      <c r="DS50" s="314">
        <v>0</v>
      </c>
      <c r="DT50" s="314">
        <v>0</v>
      </c>
      <c r="DU50" s="314">
        <v>0</v>
      </c>
      <c r="DV50" s="314">
        <v>552279.005</v>
      </c>
      <c r="DW50" s="314">
        <v>0</v>
      </c>
      <c r="DX50" s="314">
        <v>0</v>
      </c>
      <c r="DY50" s="314">
        <v>0</v>
      </c>
      <c r="DZ50" s="314">
        <v>552279.005</v>
      </c>
      <c r="EA50" s="314">
        <v>0</v>
      </c>
      <c r="EB50" s="314">
        <v>0</v>
      </c>
      <c r="EC50" s="317">
        <v>0</v>
      </c>
      <c r="ED50" s="317">
        <v>4.7100287652614999E-4</v>
      </c>
      <c r="EE50" s="317">
        <v>0.99952899712347398</v>
      </c>
      <c r="EF50" s="317">
        <v>0</v>
      </c>
      <c r="EG50" s="317">
        <v>0</v>
      </c>
      <c r="EH50" s="317">
        <v>0</v>
      </c>
      <c r="EI50" s="317">
        <v>0</v>
      </c>
      <c r="EJ50" s="317">
        <v>0</v>
      </c>
      <c r="EK50" s="317">
        <v>0</v>
      </c>
      <c r="EL50" s="317">
        <v>0</v>
      </c>
      <c r="EM50" s="317">
        <v>0</v>
      </c>
      <c r="EN50" s="317">
        <v>1</v>
      </c>
      <c r="EO50" s="317">
        <v>0</v>
      </c>
      <c r="EP50" s="317">
        <v>0</v>
      </c>
      <c r="EQ50" s="317">
        <v>0</v>
      </c>
      <c r="ER50" s="317">
        <v>1</v>
      </c>
      <c r="ES50" s="317">
        <v>0</v>
      </c>
      <c r="ET50" s="317">
        <v>0</v>
      </c>
    </row>
    <row r="51" spans="1:150" x14ac:dyDescent="0.25">
      <c r="A51" s="310">
        <v>8465</v>
      </c>
      <c r="B51" s="310">
        <v>2023</v>
      </c>
      <c r="C51" s="310" t="s">
        <v>10</v>
      </c>
      <c r="D51" s="310" t="s">
        <v>774</v>
      </c>
      <c r="E51" s="310">
        <v>2450</v>
      </c>
      <c r="F51" s="310" t="s">
        <v>759</v>
      </c>
      <c r="G51" s="310">
        <v>15473</v>
      </c>
      <c r="H51" s="310" t="s">
        <v>759</v>
      </c>
      <c r="I51" s="310">
        <v>15473</v>
      </c>
      <c r="J51" s="310" t="s">
        <v>729</v>
      </c>
      <c r="K51" s="310" t="s">
        <v>760</v>
      </c>
      <c r="L51" s="310" t="s">
        <v>761</v>
      </c>
      <c r="M51" s="310" t="s">
        <v>732</v>
      </c>
      <c r="N51" s="310" t="s">
        <v>733</v>
      </c>
      <c r="O51" s="310" t="s">
        <v>734</v>
      </c>
      <c r="P51" s="310"/>
      <c r="Q51" s="310" t="s">
        <v>735</v>
      </c>
      <c r="R51" s="310" t="s">
        <v>772</v>
      </c>
      <c r="S51" s="310" t="s">
        <v>773</v>
      </c>
      <c r="T51" s="310">
        <v>35.170999999999999</v>
      </c>
      <c r="U51" s="310">
        <v>-106.6019</v>
      </c>
      <c r="V51" s="310" t="s">
        <v>738</v>
      </c>
      <c r="W51" s="311">
        <v>3</v>
      </c>
      <c r="X51" s="311">
        <v>3</v>
      </c>
      <c r="Y51" s="310" t="s">
        <v>58</v>
      </c>
      <c r="Z51" s="310" t="s">
        <v>756</v>
      </c>
      <c r="AA51" s="310"/>
      <c r="AB51" s="312">
        <v>0.31178</v>
      </c>
      <c r="AC51" s="313">
        <v>154</v>
      </c>
      <c r="AD51" s="312">
        <v>0.81370332483346197</v>
      </c>
      <c r="AE51" s="310"/>
      <c r="AF51" s="310"/>
      <c r="AG51" s="311"/>
      <c r="AH51" s="311"/>
      <c r="AI51" s="312"/>
      <c r="AJ51" s="310"/>
      <c r="AK51" s="314">
        <v>5362913.2029999997</v>
      </c>
      <c r="AL51" s="314">
        <v>2250290.1519999998</v>
      </c>
      <c r="AM51" s="314">
        <v>5362913.2029999997</v>
      </c>
      <c r="AN51" s="314">
        <v>2250290.1519999998</v>
      </c>
      <c r="AO51" s="314">
        <v>420601</v>
      </c>
      <c r="AP51" s="314">
        <v>175172</v>
      </c>
      <c r="AQ51" s="314">
        <v>342244.43199999997</v>
      </c>
      <c r="AR51" s="314">
        <v>649.30499999999995</v>
      </c>
      <c r="AS51" s="314">
        <v>267.68200000000002</v>
      </c>
      <c r="AT51" s="314">
        <v>1.617</v>
      </c>
      <c r="AU51" s="314">
        <v>318707.63299999997</v>
      </c>
      <c r="AV51" s="314">
        <v>11944.712</v>
      </c>
      <c r="AW51" s="314">
        <v>1191.9659999999999</v>
      </c>
      <c r="AX51" s="314">
        <v>319032.79399999999</v>
      </c>
      <c r="AY51" s="315"/>
      <c r="AZ51" s="315">
        <v>3.0880000000000001</v>
      </c>
      <c r="BA51" s="315">
        <v>3.056</v>
      </c>
      <c r="BB51" s="315">
        <v>8.0000000000000002E-3</v>
      </c>
      <c r="BC51" s="315">
        <v>1515.4870000000001</v>
      </c>
      <c r="BD51" s="315">
        <v>2.8000000000000001E-2</v>
      </c>
      <c r="BE51" s="315">
        <v>3.0000000000000001E-3</v>
      </c>
      <c r="BF51" s="315">
        <v>1517.0329999999999</v>
      </c>
      <c r="BG51" s="315"/>
      <c r="BH51" s="315">
        <v>0.24199999999999999</v>
      </c>
      <c r="BI51" s="315">
        <v>0.23799999999999999</v>
      </c>
      <c r="BJ51" s="315">
        <v>1E-3</v>
      </c>
      <c r="BK51" s="315">
        <v>118.85599999999999</v>
      </c>
      <c r="BL51" s="315">
        <v>2E-3</v>
      </c>
      <c r="BM51" s="315">
        <v>0</v>
      </c>
      <c r="BN51" s="315">
        <v>118.977</v>
      </c>
      <c r="BO51" s="315"/>
      <c r="BP51" s="315">
        <v>3.0880000000000001</v>
      </c>
      <c r="BQ51" s="315">
        <v>3.056</v>
      </c>
      <c r="BR51" s="315">
        <v>8.0000000000000002E-3</v>
      </c>
      <c r="BS51" s="315">
        <v>1515.4870000000001</v>
      </c>
      <c r="BT51" s="315">
        <v>2.8000000000000001E-2</v>
      </c>
      <c r="BU51" s="315">
        <v>3.0000000000000001E-3</v>
      </c>
      <c r="BV51" s="315">
        <v>1517.0329999999999</v>
      </c>
      <c r="BW51" s="311"/>
      <c r="BX51" s="311">
        <v>649.30499999999995</v>
      </c>
      <c r="BY51" s="311">
        <v>267.68200000000002</v>
      </c>
      <c r="BZ51" s="311">
        <v>1.617</v>
      </c>
      <c r="CA51" s="311">
        <v>318707.63299999997</v>
      </c>
      <c r="CB51" s="311">
        <v>11944.712</v>
      </c>
      <c r="CC51" s="311">
        <v>1191.9659999999999</v>
      </c>
      <c r="CD51" s="311">
        <v>319032.79399999999</v>
      </c>
      <c r="CE51" s="311"/>
      <c r="CF51" s="311">
        <v>5362913.2029999997</v>
      </c>
      <c r="CG51" s="311">
        <v>2250290.1519999998</v>
      </c>
      <c r="CH51" s="310">
        <v>5362913.2029999997</v>
      </c>
      <c r="CI51" s="310">
        <v>2250290.1519999998</v>
      </c>
      <c r="CJ51" s="310" t="s">
        <v>741</v>
      </c>
      <c r="CK51" s="310" t="s">
        <v>741</v>
      </c>
      <c r="CL51" s="310" t="s">
        <v>741</v>
      </c>
      <c r="CM51" s="310" t="s">
        <v>741</v>
      </c>
      <c r="CN51" s="310" t="s">
        <v>742</v>
      </c>
      <c r="CO51" s="310" t="s">
        <v>742</v>
      </c>
      <c r="CP51" s="310" t="s">
        <v>743</v>
      </c>
      <c r="CQ51" s="311" t="s">
        <v>744</v>
      </c>
      <c r="CR51" s="311" t="s">
        <v>741</v>
      </c>
      <c r="CS51" s="311" t="s">
        <v>741</v>
      </c>
      <c r="CT51" s="311"/>
      <c r="CU51" s="311"/>
      <c r="CV51" s="311"/>
      <c r="CW51" s="311"/>
      <c r="CX51" s="311"/>
      <c r="CY51" s="311"/>
      <c r="CZ51" s="311"/>
      <c r="DA51" s="311"/>
      <c r="DB51" s="311"/>
      <c r="DC51" s="311"/>
      <c r="DD51" s="311"/>
      <c r="DE51" s="316"/>
      <c r="DF51" s="314"/>
      <c r="DG51" s="314"/>
      <c r="DH51" s="314"/>
      <c r="DI51" s="314"/>
      <c r="DJ51" s="314">
        <v>12750.595465</v>
      </c>
      <c r="DK51" s="314">
        <v>0</v>
      </c>
      <c r="DL51" s="314">
        <v>0</v>
      </c>
      <c r="DM51" s="314">
        <v>420601</v>
      </c>
      <c r="DN51" s="314">
        <v>0</v>
      </c>
      <c r="DO51" s="314">
        <v>0</v>
      </c>
      <c r="DP51" s="314">
        <v>0</v>
      </c>
      <c r="DQ51" s="314">
        <v>0</v>
      </c>
      <c r="DR51" s="314">
        <v>0</v>
      </c>
      <c r="DS51" s="314">
        <v>0</v>
      </c>
      <c r="DT51" s="314">
        <v>0</v>
      </c>
      <c r="DU51" s="314">
        <v>0</v>
      </c>
      <c r="DV51" s="314">
        <v>420601</v>
      </c>
      <c r="DW51" s="314">
        <v>0</v>
      </c>
      <c r="DX51" s="314">
        <v>0</v>
      </c>
      <c r="DY51" s="314">
        <v>0</v>
      </c>
      <c r="DZ51" s="314">
        <v>420601</v>
      </c>
      <c r="EA51" s="314">
        <v>0</v>
      </c>
      <c r="EB51" s="314">
        <v>0</v>
      </c>
      <c r="EC51" s="317">
        <v>0</v>
      </c>
      <c r="ED51" s="317">
        <v>0</v>
      </c>
      <c r="EE51" s="317">
        <v>1</v>
      </c>
      <c r="EF51" s="317">
        <v>0</v>
      </c>
      <c r="EG51" s="317">
        <v>0</v>
      </c>
      <c r="EH51" s="317">
        <v>0</v>
      </c>
      <c r="EI51" s="317">
        <v>0</v>
      </c>
      <c r="EJ51" s="317">
        <v>0</v>
      </c>
      <c r="EK51" s="317">
        <v>0</v>
      </c>
      <c r="EL51" s="317">
        <v>0</v>
      </c>
      <c r="EM51" s="317">
        <v>0</v>
      </c>
      <c r="EN51" s="317">
        <v>1</v>
      </c>
      <c r="EO51" s="317">
        <v>0</v>
      </c>
      <c r="EP51" s="317">
        <v>0</v>
      </c>
      <c r="EQ51" s="317">
        <v>0</v>
      </c>
      <c r="ER51" s="317">
        <v>1</v>
      </c>
      <c r="ES51" s="317">
        <v>0</v>
      </c>
      <c r="ET51" s="317">
        <v>0</v>
      </c>
    </row>
    <row r="52" spans="1:150" x14ac:dyDescent="0.25">
      <c r="A52" s="310">
        <v>8445</v>
      </c>
      <c r="B52" s="310">
        <v>2023</v>
      </c>
      <c r="C52" s="310" t="s">
        <v>10</v>
      </c>
      <c r="D52" s="310" t="s">
        <v>775</v>
      </c>
      <c r="E52" s="310">
        <v>2446</v>
      </c>
      <c r="F52" s="310" t="s">
        <v>746</v>
      </c>
      <c r="G52" s="310">
        <v>17718</v>
      </c>
      <c r="H52" s="310" t="s">
        <v>746</v>
      </c>
      <c r="I52" s="310">
        <v>17718</v>
      </c>
      <c r="J52" s="310" t="s">
        <v>729</v>
      </c>
      <c r="K52" s="310" t="s">
        <v>749</v>
      </c>
      <c r="L52" s="310" t="s">
        <v>750</v>
      </c>
      <c r="M52" s="310" t="s">
        <v>751</v>
      </c>
      <c r="N52" s="310" t="s">
        <v>752</v>
      </c>
      <c r="O52" s="310" t="s">
        <v>753</v>
      </c>
      <c r="P52" s="310"/>
      <c r="Q52" s="310" t="s">
        <v>735</v>
      </c>
      <c r="R52" s="310" t="s">
        <v>754</v>
      </c>
      <c r="S52" s="310" t="s">
        <v>755</v>
      </c>
      <c r="T52" s="310">
        <v>32.714224000000002</v>
      </c>
      <c r="U52" s="310">
        <v>-103.301469</v>
      </c>
      <c r="V52" s="310" t="s">
        <v>738</v>
      </c>
      <c r="W52" s="311">
        <v>1</v>
      </c>
      <c r="X52" s="311">
        <v>3</v>
      </c>
      <c r="Y52" s="310" t="s">
        <v>58</v>
      </c>
      <c r="Z52" s="310" t="s">
        <v>756</v>
      </c>
      <c r="AA52" s="310"/>
      <c r="AB52" s="312">
        <v>0.37935999999999998</v>
      </c>
      <c r="AC52" s="313">
        <v>212</v>
      </c>
      <c r="AD52" s="312">
        <v>0.70106042330777396</v>
      </c>
      <c r="AE52" s="310"/>
      <c r="AF52" s="310"/>
      <c r="AG52" s="311"/>
      <c r="AH52" s="311"/>
      <c r="AI52" s="312"/>
      <c r="AJ52" s="310"/>
      <c r="AK52" s="314">
        <v>5144081.9560000002</v>
      </c>
      <c r="AL52" s="314">
        <v>2211616.6150000002</v>
      </c>
      <c r="AM52" s="314">
        <v>5144081.9560000002</v>
      </c>
      <c r="AN52" s="314">
        <v>2211616.6150000002</v>
      </c>
      <c r="AO52" s="314">
        <v>704524</v>
      </c>
      <c r="AP52" s="314">
        <v>328602</v>
      </c>
      <c r="AQ52" s="314">
        <v>493913.89399999997</v>
      </c>
      <c r="AR52" s="314">
        <v>377.48399999999998</v>
      </c>
      <c r="AS52" s="314">
        <v>163.78200000000001</v>
      </c>
      <c r="AT52" s="314">
        <v>1.5329999999999999</v>
      </c>
      <c r="AU52" s="314">
        <v>305706.21799999999</v>
      </c>
      <c r="AV52" s="314">
        <v>18416.741000000002</v>
      </c>
      <c r="AW52" s="314">
        <v>1837.8109999999999</v>
      </c>
      <c r="AX52" s="314">
        <v>306207.56199999998</v>
      </c>
      <c r="AY52" s="315"/>
      <c r="AZ52" s="315">
        <v>1.0720000000000001</v>
      </c>
      <c r="BA52" s="315">
        <v>0.997</v>
      </c>
      <c r="BB52" s="315">
        <v>4.0000000000000001E-3</v>
      </c>
      <c r="BC52" s="315">
        <v>867.83799999999997</v>
      </c>
      <c r="BD52" s="315">
        <v>2.5999999999999999E-2</v>
      </c>
      <c r="BE52" s="315">
        <v>3.0000000000000001E-3</v>
      </c>
      <c r="BF52" s="315">
        <v>869.26099999999997</v>
      </c>
      <c r="BG52" s="315"/>
      <c r="BH52" s="315">
        <v>0.14699999999999999</v>
      </c>
      <c r="BI52" s="315">
        <v>0.14799999999999999</v>
      </c>
      <c r="BJ52" s="315">
        <v>1E-3</v>
      </c>
      <c r="BK52" s="315">
        <v>118.857</v>
      </c>
      <c r="BL52" s="315">
        <v>4.0000000000000001E-3</v>
      </c>
      <c r="BM52" s="315">
        <v>0</v>
      </c>
      <c r="BN52" s="315">
        <v>119.05200000000001</v>
      </c>
      <c r="BO52" s="315"/>
      <c r="BP52" s="315">
        <v>1.0720000000000001</v>
      </c>
      <c r="BQ52" s="315">
        <v>0.997</v>
      </c>
      <c r="BR52" s="315">
        <v>4.0000000000000001E-3</v>
      </c>
      <c r="BS52" s="315">
        <v>867.83799999999997</v>
      </c>
      <c r="BT52" s="315">
        <v>2.5999999999999999E-2</v>
      </c>
      <c r="BU52" s="315">
        <v>3.0000000000000001E-3</v>
      </c>
      <c r="BV52" s="315">
        <v>869.26099999999997</v>
      </c>
      <c r="BW52" s="311"/>
      <c r="BX52" s="311">
        <v>377.48399999999998</v>
      </c>
      <c r="BY52" s="311">
        <v>163.78200000000001</v>
      </c>
      <c r="BZ52" s="311">
        <v>1.5329999999999999</v>
      </c>
      <c r="CA52" s="311">
        <v>305706.21799999999</v>
      </c>
      <c r="CB52" s="311">
        <v>18416.741000000002</v>
      </c>
      <c r="CC52" s="311">
        <v>1837.8109999999999</v>
      </c>
      <c r="CD52" s="311">
        <v>306207.56199999998</v>
      </c>
      <c r="CE52" s="311"/>
      <c r="CF52" s="311">
        <v>5144081.9560000002</v>
      </c>
      <c r="CG52" s="311">
        <v>2211616.6150000002</v>
      </c>
      <c r="CH52" s="310">
        <v>5144081.9560000002</v>
      </c>
      <c r="CI52" s="310">
        <v>2211616.6150000002</v>
      </c>
      <c r="CJ52" s="310" t="s">
        <v>741</v>
      </c>
      <c r="CK52" s="310" t="s">
        <v>741</v>
      </c>
      <c r="CL52" s="310" t="s">
        <v>741</v>
      </c>
      <c r="CM52" s="310" t="s">
        <v>741</v>
      </c>
      <c r="CN52" s="310" t="s">
        <v>742</v>
      </c>
      <c r="CO52" s="310" t="s">
        <v>742</v>
      </c>
      <c r="CP52" s="310" t="s">
        <v>743</v>
      </c>
      <c r="CQ52" s="311" t="s">
        <v>744</v>
      </c>
      <c r="CR52" s="311" t="s">
        <v>741</v>
      </c>
      <c r="CS52" s="311" t="s">
        <v>741</v>
      </c>
      <c r="CT52" s="311"/>
      <c r="CU52" s="311"/>
      <c r="CV52" s="311"/>
      <c r="CW52" s="311"/>
      <c r="CX52" s="311"/>
      <c r="CY52" s="311"/>
      <c r="CZ52" s="311"/>
      <c r="DA52" s="311"/>
      <c r="DB52" s="311"/>
      <c r="DC52" s="311"/>
      <c r="DD52" s="311"/>
      <c r="DE52" s="316"/>
      <c r="DF52" s="314"/>
      <c r="DG52" s="314"/>
      <c r="DH52" s="314"/>
      <c r="DI52" s="314"/>
      <c r="DJ52" s="314">
        <v>7301.499957</v>
      </c>
      <c r="DK52" s="314">
        <v>0</v>
      </c>
      <c r="DL52" s="314">
        <v>0</v>
      </c>
      <c r="DM52" s="314">
        <v>704524</v>
      </c>
      <c r="DN52" s="314">
        <v>0</v>
      </c>
      <c r="DO52" s="314">
        <v>0</v>
      </c>
      <c r="DP52" s="314">
        <v>0</v>
      </c>
      <c r="DQ52" s="314">
        <v>0</v>
      </c>
      <c r="DR52" s="314">
        <v>0</v>
      </c>
      <c r="DS52" s="314">
        <v>0</v>
      </c>
      <c r="DT52" s="314">
        <v>0</v>
      </c>
      <c r="DU52" s="314">
        <v>0</v>
      </c>
      <c r="DV52" s="314">
        <v>704524</v>
      </c>
      <c r="DW52" s="314">
        <v>0</v>
      </c>
      <c r="DX52" s="314">
        <v>0</v>
      </c>
      <c r="DY52" s="314">
        <v>0</v>
      </c>
      <c r="DZ52" s="314">
        <v>704524</v>
      </c>
      <c r="EA52" s="314">
        <v>0</v>
      </c>
      <c r="EB52" s="314">
        <v>0</v>
      </c>
      <c r="EC52" s="317">
        <v>0</v>
      </c>
      <c r="ED52" s="317">
        <v>0</v>
      </c>
      <c r="EE52" s="317">
        <v>1</v>
      </c>
      <c r="EF52" s="317">
        <v>0</v>
      </c>
      <c r="EG52" s="317">
        <v>0</v>
      </c>
      <c r="EH52" s="317">
        <v>0</v>
      </c>
      <c r="EI52" s="317">
        <v>0</v>
      </c>
      <c r="EJ52" s="317">
        <v>0</v>
      </c>
      <c r="EK52" s="317">
        <v>0</v>
      </c>
      <c r="EL52" s="317">
        <v>0</v>
      </c>
      <c r="EM52" s="317">
        <v>0</v>
      </c>
      <c r="EN52" s="317">
        <v>1</v>
      </c>
      <c r="EO52" s="317">
        <v>0</v>
      </c>
      <c r="EP52" s="317">
        <v>0</v>
      </c>
      <c r="EQ52" s="317">
        <v>0</v>
      </c>
      <c r="ER52" s="317">
        <v>1</v>
      </c>
      <c r="ES52" s="317">
        <v>0</v>
      </c>
      <c r="ET52" s="317">
        <v>0</v>
      </c>
    </row>
    <row r="53" spans="1:150" x14ac:dyDescent="0.25">
      <c r="A53" s="310">
        <v>8385</v>
      </c>
      <c r="B53" s="310">
        <v>2023</v>
      </c>
      <c r="C53" s="310" t="s">
        <v>10</v>
      </c>
      <c r="D53" s="310" t="s">
        <v>776</v>
      </c>
      <c r="E53" s="310">
        <v>55977</v>
      </c>
      <c r="F53" s="310" t="s">
        <v>777</v>
      </c>
      <c r="G53" s="310">
        <v>6204</v>
      </c>
      <c r="H53" s="310" t="s">
        <v>777</v>
      </c>
      <c r="I53" s="310">
        <v>6204</v>
      </c>
      <c r="J53" s="310" t="s">
        <v>729</v>
      </c>
      <c r="K53" s="310" t="s">
        <v>778</v>
      </c>
      <c r="L53" s="310" t="s">
        <v>779</v>
      </c>
      <c r="M53" s="310" t="s">
        <v>732</v>
      </c>
      <c r="N53" s="310" t="s">
        <v>733</v>
      </c>
      <c r="O53" s="310" t="s">
        <v>734</v>
      </c>
      <c r="P53" s="310"/>
      <c r="Q53" s="310" t="s">
        <v>735</v>
      </c>
      <c r="R53" s="310" t="s">
        <v>736</v>
      </c>
      <c r="S53" s="310" t="s">
        <v>737</v>
      </c>
      <c r="T53" s="310">
        <v>36.716628</v>
      </c>
      <c r="U53" s="310">
        <v>-108.215282</v>
      </c>
      <c r="V53" s="310" t="s">
        <v>738</v>
      </c>
      <c r="W53" s="311">
        <v>1</v>
      </c>
      <c r="X53" s="311">
        <v>2</v>
      </c>
      <c r="Y53" s="310" t="s">
        <v>58</v>
      </c>
      <c r="Z53" s="310" t="s">
        <v>756</v>
      </c>
      <c r="AA53" s="310"/>
      <c r="AB53" s="312">
        <v>0.73026999999999997</v>
      </c>
      <c r="AC53" s="313">
        <v>67</v>
      </c>
      <c r="AD53" s="312">
        <v>0.116211181535246</v>
      </c>
      <c r="AE53" s="310"/>
      <c r="AF53" s="310"/>
      <c r="AG53" s="311"/>
      <c r="AH53" s="311"/>
      <c r="AI53" s="312"/>
      <c r="AJ53" s="310"/>
      <c r="AK53" s="314">
        <v>3617472.8650000002</v>
      </c>
      <c r="AL53" s="314">
        <v>1650890.8870000001</v>
      </c>
      <c r="AM53" s="314">
        <v>3617472.8650000002</v>
      </c>
      <c r="AN53" s="314">
        <v>1650890.8870000001</v>
      </c>
      <c r="AO53" s="314">
        <v>428612</v>
      </c>
      <c r="AP53" s="314">
        <v>188982</v>
      </c>
      <c r="AQ53" s="314">
        <v>49809.506999999998</v>
      </c>
      <c r="AR53" s="314">
        <v>81.795000000000002</v>
      </c>
      <c r="AS53" s="314">
        <v>37.731999999999999</v>
      </c>
      <c r="AT53" s="314">
        <v>1.024</v>
      </c>
      <c r="AU53" s="314">
        <v>214977.136</v>
      </c>
      <c r="AV53" s="314">
        <v>7580.9129999999996</v>
      </c>
      <c r="AW53" s="314">
        <v>756.50099999999998</v>
      </c>
      <c r="AX53" s="314">
        <v>215183.505</v>
      </c>
      <c r="AY53" s="315"/>
      <c r="AZ53" s="315">
        <v>0.38200000000000001</v>
      </c>
      <c r="BA53" s="315">
        <v>0.39900000000000002</v>
      </c>
      <c r="BB53" s="315">
        <v>5.0000000000000001E-3</v>
      </c>
      <c r="BC53" s="315">
        <v>1003.1319999999999</v>
      </c>
      <c r="BD53" s="315">
        <v>1.7999999999999999E-2</v>
      </c>
      <c r="BE53" s="315">
        <v>2E-3</v>
      </c>
      <c r="BF53" s="315">
        <v>1004.095</v>
      </c>
      <c r="BG53" s="315"/>
      <c r="BH53" s="315">
        <v>4.4999999999999998E-2</v>
      </c>
      <c r="BI53" s="315">
        <v>4.5999999999999999E-2</v>
      </c>
      <c r="BJ53" s="315">
        <v>1E-3</v>
      </c>
      <c r="BK53" s="315">
        <v>118.855</v>
      </c>
      <c r="BL53" s="315">
        <v>2E-3</v>
      </c>
      <c r="BM53" s="315">
        <v>0</v>
      </c>
      <c r="BN53" s="315">
        <v>118.96899999999999</v>
      </c>
      <c r="BO53" s="315"/>
      <c r="BP53" s="315">
        <v>0.38200000000000001</v>
      </c>
      <c r="BQ53" s="315">
        <v>0.39900000000000002</v>
      </c>
      <c r="BR53" s="315">
        <v>5.0000000000000001E-3</v>
      </c>
      <c r="BS53" s="315">
        <v>1003.1319999999999</v>
      </c>
      <c r="BT53" s="315">
        <v>1.7999999999999999E-2</v>
      </c>
      <c r="BU53" s="315">
        <v>2E-3</v>
      </c>
      <c r="BV53" s="315">
        <v>1004.095</v>
      </c>
      <c r="BW53" s="311"/>
      <c r="BX53" s="311">
        <v>81.795000000000002</v>
      </c>
      <c r="BY53" s="311">
        <v>37.731999999999999</v>
      </c>
      <c r="BZ53" s="311">
        <v>1.024</v>
      </c>
      <c r="CA53" s="311">
        <v>214977.136</v>
      </c>
      <c r="CB53" s="311">
        <v>7580.9129999999996</v>
      </c>
      <c r="CC53" s="311">
        <v>756.50099999999998</v>
      </c>
      <c r="CD53" s="311">
        <v>215183.505</v>
      </c>
      <c r="CE53" s="311"/>
      <c r="CF53" s="311">
        <v>3617472.8650000002</v>
      </c>
      <c r="CG53" s="311">
        <v>1650890.8870000001</v>
      </c>
      <c r="CH53" s="310">
        <v>3617472.8650000002</v>
      </c>
      <c r="CI53" s="310">
        <v>1650890.8870000001</v>
      </c>
      <c r="CJ53" s="310" t="s">
        <v>741</v>
      </c>
      <c r="CK53" s="310" t="s">
        <v>741</v>
      </c>
      <c r="CL53" s="310" t="s">
        <v>741</v>
      </c>
      <c r="CM53" s="310" t="s">
        <v>741</v>
      </c>
      <c r="CN53" s="310" t="s">
        <v>742</v>
      </c>
      <c r="CO53" s="310" t="s">
        <v>742</v>
      </c>
      <c r="CP53" s="310" t="s">
        <v>743</v>
      </c>
      <c r="CQ53" s="311" t="s">
        <v>744</v>
      </c>
      <c r="CR53" s="311" t="s">
        <v>741</v>
      </c>
      <c r="CS53" s="311" t="s">
        <v>741</v>
      </c>
      <c r="CT53" s="311"/>
      <c r="CU53" s="311"/>
      <c r="CV53" s="311"/>
      <c r="CW53" s="311"/>
      <c r="CX53" s="311"/>
      <c r="CY53" s="311"/>
      <c r="CZ53" s="311"/>
      <c r="DA53" s="311"/>
      <c r="DB53" s="311"/>
      <c r="DC53" s="311"/>
      <c r="DD53" s="311"/>
      <c r="DE53" s="316"/>
      <c r="DF53" s="314"/>
      <c r="DG53" s="314"/>
      <c r="DH53" s="314"/>
      <c r="DI53" s="314"/>
      <c r="DJ53" s="314">
        <v>8439.9710340000001</v>
      </c>
      <c r="DK53" s="314">
        <v>0</v>
      </c>
      <c r="DL53" s="314">
        <v>0</v>
      </c>
      <c r="DM53" s="314">
        <v>428612</v>
      </c>
      <c r="DN53" s="314">
        <v>0</v>
      </c>
      <c r="DO53" s="314">
        <v>0</v>
      </c>
      <c r="DP53" s="314">
        <v>0</v>
      </c>
      <c r="DQ53" s="314">
        <v>0</v>
      </c>
      <c r="DR53" s="314">
        <v>0</v>
      </c>
      <c r="DS53" s="314">
        <v>0</v>
      </c>
      <c r="DT53" s="314">
        <v>0</v>
      </c>
      <c r="DU53" s="314">
        <v>0</v>
      </c>
      <c r="DV53" s="314">
        <v>428612</v>
      </c>
      <c r="DW53" s="314">
        <v>0</v>
      </c>
      <c r="DX53" s="314">
        <v>0</v>
      </c>
      <c r="DY53" s="314">
        <v>0</v>
      </c>
      <c r="DZ53" s="314">
        <v>428612</v>
      </c>
      <c r="EA53" s="314">
        <v>0</v>
      </c>
      <c r="EB53" s="314">
        <v>0</v>
      </c>
      <c r="EC53" s="317">
        <v>0</v>
      </c>
      <c r="ED53" s="317">
        <v>0</v>
      </c>
      <c r="EE53" s="317">
        <v>1</v>
      </c>
      <c r="EF53" s="317">
        <v>0</v>
      </c>
      <c r="EG53" s="317">
        <v>0</v>
      </c>
      <c r="EH53" s="317">
        <v>0</v>
      </c>
      <c r="EI53" s="317">
        <v>0</v>
      </c>
      <c r="EJ53" s="317">
        <v>0</v>
      </c>
      <c r="EK53" s="317">
        <v>0</v>
      </c>
      <c r="EL53" s="317">
        <v>0</v>
      </c>
      <c r="EM53" s="317">
        <v>0</v>
      </c>
      <c r="EN53" s="317">
        <v>1</v>
      </c>
      <c r="EO53" s="317">
        <v>0</v>
      </c>
      <c r="EP53" s="317">
        <v>0</v>
      </c>
      <c r="EQ53" s="317">
        <v>0</v>
      </c>
      <c r="ER53" s="317">
        <v>1</v>
      </c>
      <c r="ES53" s="317">
        <v>0</v>
      </c>
      <c r="ET53" s="317">
        <v>0</v>
      </c>
    </row>
    <row r="54" spans="1:150" x14ac:dyDescent="0.25">
      <c r="A54" s="310">
        <v>8459</v>
      </c>
      <c r="B54" s="310">
        <v>2023</v>
      </c>
      <c r="C54" s="310" t="s">
        <v>10</v>
      </c>
      <c r="D54" s="310" t="s">
        <v>780</v>
      </c>
      <c r="E54" s="310">
        <v>7975</v>
      </c>
      <c r="F54" s="310" t="s">
        <v>759</v>
      </c>
      <c r="G54" s="310">
        <v>15473</v>
      </c>
      <c r="H54" s="310" t="s">
        <v>781</v>
      </c>
      <c r="I54" s="310">
        <v>30151</v>
      </c>
      <c r="J54" s="310" t="s">
        <v>729</v>
      </c>
      <c r="K54" s="310" t="s">
        <v>760</v>
      </c>
      <c r="L54" s="310" t="s">
        <v>761</v>
      </c>
      <c r="M54" s="310" t="s">
        <v>732</v>
      </c>
      <c r="N54" s="310" t="s">
        <v>733</v>
      </c>
      <c r="O54" s="310" t="s">
        <v>734</v>
      </c>
      <c r="P54" s="310"/>
      <c r="Q54" s="310" t="s">
        <v>735</v>
      </c>
      <c r="R54" s="310" t="s">
        <v>782</v>
      </c>
      <c r="S54" s="310" t="s">
        <v>783</v>
      </c>
      <c r="T54" s="310">
        <v>32.2363</v>
      </c>
      <c r="U54" s="310">
        <v>-108.54940000000001</v>
      </c>
      <c r="V54" s="310" t="s">
        <v>738</v>
      </c>
      <c r="W54" s="311">
        <v>4</v>
      </c>
      <c r="X54" s="311">
        <v>4</v>
      </c>
      <c r="Y54" s="310" t="s">
        <v>58</v>
      </c>
      <c r="Z54" s="310" t="s">
        <v>756</v>
      </c>
      <c r="AA54" s="310"/>
      <c r="AB54" s="312">
        <v>0.17629</v>
      </c>
      <c r="AC54" s="313">
        <v>186</v>
      </c>
      <c r="AD54" s="312">
        <v>1</v>
      </c>
      <c r="AE54" s="310"/>
      <c r="AF54" s="310"/>
      <c r="AG54" s="311"/>
      <c r="AH54" s="311"/>
      <c r="AI54" s="312"/>
      <c r="AJ54" s="310"/>
      <c r="AK54" s="314">
        <v>2926211.4249999998</v>
      </c>
      <c r="AL54" s="314">
        <v>1257436.3899999999</v>
      </c>
      <c r="AM54" s="314">
        <v>2926211.4249999998</v>
      </c>
      <c r="AN54" s="314">
        <v>1257436.3899999999</v>
      </c>
      <c r="AO54" s="314">
        <v>287233</v>
      </c>
      <c r="AP54" s="314">
        <v>123428.272</v>
      </c>
      <c r="AQ54" s="314">
        <v>287233</v>
      </c>
      <c r="AR54" s="314">
        <v>182.322</v>
      </c>
      <c r="AS54" s="314">
        <v>79.278999999999996</v>
      </c>
      <c r="AT54" s="314">
        <v>0.90600000000000003</v>
      </c>
      <c r="AU54" s="314">
        <v>173967.486</v>
      </c>
      <c r="AV54" s="314">
        <v>6397.098</v>
      </c>
      <c r="AW54" s="314">
        <v>640.32799999999997</v>
      </c>
      <c r="AX54" s="314">
        <v>174141.889</v>
      </c>
      <c r="AY54" s="315"/>
      <c r="AZ54" s="315">
        <v>1.27</v>
      </c>
      <c r="BA54" s="315">
        <v>1.2849999999999999</v>
      </c>
      <c r="BB54" s="315">
        <v>6.0000000000000001E-3</v>
      </c>
      <c r="BC54" s="315">
        <v>1211.3340000000001</v>
      </c>
      <c r="BD54" s="315">
        <v>2.1999999999999999E-2</v>
      </c>
      <c r="BE54" s="315">
        <v>2E-3</v>
      </c>
      <c r="BF54" s="315">
        <v>1212.548</v>
      </c>
      <c r="BG54" s="315"/>
      <c r="BH54" s="315">
        <v>0.125</v>
      </c>
      <c r="BI54" s="315">
        <v>0.126</v>
      </c>
      <c r="BJ54" s="315">
        <v>1E-3</v>
      </c>
      <c r="BK54" s="315">
        <v>118.90300000000001</v>
      </c>
      <c r="BL54" s="315">
        <v>2E-3</v>
      </c>
      <c r="BM54" s="315">
        <v>0</v>
      </c>
      <c r="BN54" s="315">
        <v>119.02200000000001</v>
      </c>
      <c r="BO54" s="315"/>
      <c r="BP54" s="315">
        <v>1.27</v>
      </c>
      <c r="BQ54" s="315">
        <v>1.2849999999999999</v>
      </c>
      <c r="BR54" s="315">
        <v>6.0000000000000001E-3</v>
      </c>
      <c r="BS54" s="315">
        <v>1211.3340000000001</v>
      </c>
      <c r="BT54" s="315">
        <v>2.1999999999999999E-2</v>
      </c>
      <c r="BU54" s="315">
        <v>2E-3</v>
      </c>
      <c r="BV54" s="315">
        <v>1212.548</v>
      </c>
      <c r="BW54" s="311"/>
      <c r="BX54" s="311">
        <v>182.322</v>
      </c>
      <c r="BY54" s="311">
        <v>79.278999999999996</v>
      </c>
      <c r="BZ54" s="311">
        <v>0.90600000000000003</v>
      </c>
      <c r="CA54" s="311">
        <v>173967.486</v>
      </c>
      <c r="CB54" s="311">
        <v>6397.098</v>
      </c>
      <c r="CC54" s="311">
        <v>640.32799999999997</v>
      </c>
      <c r="CD54" s="311">
        <v>174141.889</v>
      </c>
      <c r="CE54" s="311"/>
      <c r="CF54" s="311">
        <v>2926211.4249999998</v>
      </c>
      <c r="CG54" s="311">
        <v>1257436.3899999999</v>
      </c>
      <c r="CH54" s="310">
        <v>2926211.4249999998</v>
      </c>
      <c r="CI54" s="310">
        <v>1257436.3899999999</v>
      </c>
      <c r="CJ54" s="310" t="s">
        <v>741</v>
      </c>
      <c r="CK54" s="310" t="s">
        <v>741</v>
      </c>
      <c r="CL54" s="310" t="s">
        <v>741</v>
      </c>
      <c r="CM54" s="310" t="s">
        <v>741</v>
      </c>
      <c r="CN54" s="310" t="s">
        <v>742</v>
      </c>
      <c r="CO54" s="310" t="s">
        <v>742</v>
      </c>
      <c r="CP54" s="310" t="s">
        <v>743</v>
      </c>
      <c r="CQ54" s="311" t="s">
        <v>744</v>
      </c>
      <c r="CR54" s="311" t="s">
        <v>741</v>
      </c>
      <c r="CS54" s="311" t="s">
        <v>741</v>
      </c>
      <c r="CT54" s="311"/>
      <c r="CU54" s="311"/>
      <c r="CV54" s="311"/>
      <c r="CW54" s="311"/>
      <c r="CX54" s="311"/>
      <c r="CY54" s="311"/>
      <c r="CZ54" s="311"/>
      <c r="DA54" s="311"/>
      <c r="DB54" s="311"/>
      <c r="DC54" s="311"/>
      <c r="DD54" s="311"/>
      <c r="DE54" s="316"/>
      <c r="DF54" s="314"/>
      <c r="DG54" s="314"/>
      <c r="DH54" s="314"/>
      <c r="DI54" s="314"/>
      <c r="DJ54" s="314">
        <v>10187.587863999999</v>
      </c>
      <c r="DK54" s="314">
        <v>0</v>
      </c>
      <c r="DL54" s="314">
        <v>292.95999999999998</v>
      </c>
      <c r="DM54" s="314">
        <v>286940.03999999998</v>
      </c>
      <c r="DN54" s="314">
        <v>0</v>
      </c>
      <c r="DO54" s="314">
        <v>0</v>
      </c>
      <c r="DP54" s="314">
        <v>0</v>
      </c>
      <c r="DQ54" s="314">
        <v>0</v>
      </c>
      <c r="DR54" s="314">
        <v>0</v>
      </c>
      <c r="DS54" s="314">
        <v>0</v>
      </c>
      <c r="DT54" s="314">
        <v>0</v>
      </c>
      <c r="DU54" s="314">
        <v>0</v>
      </c>
      <c r="DV54" s="314">
        <v>287233</v>
      </c>
      <c r="DW54" s="314">
        <v>0</v>
      </c>
      <c r="DX54" s="314">
        <v>0</v>
      </c>
      <c r="DY54" s="314">
        <v>0</v>
      </c>
      <c r="DZ54" s="314">
        <v>287233</v>
      </c>
      <c r="EA54" s="314">
        <v>0</v>
      </c>
      <c r="EB54" s="314">
        <v>0</v>
      </c>
      <c r="EC54" s="317">
        <v>0</v>
      </c>
      <c r="ED54" s="317">
        <v>1.0199385168138801E-3</v>
      </c>
      <c r="EE54" s="317">
        <v>0.99898006148318597</v>
      </c>
      <c r="EF54" s="317">
        <v>0</v>
      </c>
      <c r="EG54" s="317">
        <v>0</v>
      </c>
      <c r="EH54" s="317">
        <v>0</v>
      </c>
      <c r="EI54" s="317">
        <v>0</v>
      </c>
      <c r="EJ54" s="317">
        <v>0</v>
      </c>
      <c r="EK54" s="317">
        <v>0</v>
      </c>
      <c r="EL54" s="317">
        <v>0</v>
      </c>
      <c r="EM54" s="317">
        <v>0</v>
      </c>
      <c r="EN54" s="317">
        <v>1</v>
      </c>
      <c r="EO54" s="317">
        <v>0</v>
      </c>
      <c r="EP54" s="317">
        <v>0</v>
      </c>
      <c r="EQ54" s="317">
        <v>0</v>
      </c>
      <c r="ER54" s="317">
        <v>1</v>
      </c>
      <c r="ES54" s="317">
        <v>0</v>
      </c>
      <c r="ET54" s="317">
        <v>0</v>
      </c>
    </row>
    <row r="55" spans="1:150" x14ac:dyDescent="0.25">
      <c r="A55" s="310">
        <v>8506</v>
      </c>
      <c r="B55" s="310">
        <v>2023</v>
      </c>
      <c r="C55" s="310" t="s">
        <v>10</v>
      </c>
      <c r="D55" s="310" t="s">
        <v>784</v>
      </c>
      <c r="E55" s="310">
        <v>55802</v>
      </c>
      <c r="F55" s="310" t="s">
        <v>759</v>
      </c>
      <c r="G55" s="310">
        <v>15473</v>
      </c>
      <c r="H55" s="310" t="s">
        <v>785</v>
      </c>
      <c r="I55" s="310">
        <v>55972</v>
      </c>
      <c r="J55" s="310" t="s">
        <v>748</v>
      </c>
      <c r="K55" s="310" t="s">
        <v>760</v>
      </c>
      <c r="L55" s="310" t="s">
        <v>761</v>
      </c>
      <c r="M55" s="310" t="s">
        <v>732</v>
      </c>
      <c r="N55" s="310" t="s">
        <v>733</v>
      </c>
      <c r="O55" s="310" t="s">
        <v>734</v>
      </c>
      <c r="P55" s="310"/>
      <c r="Q55" s="310" t="s">
        <v>735</v>
      </c>
      <c r="R55" s="310" t="s">
        <v>786</v>
      </c>
      <c r="S55" s="310" t="s">
        <v>787</v>
      </c>
      <c r="T55" s="310">
        <v>34.611548999999997</v>
      </c>
      <c r="U55" s="310">
        <v>-106.73223400000001</v>
      </c>
      <c r="V55" s="310" t="s">
        <v>738</v>
      </c>
      <c r="W55" s="311">
        <v>1</v>
      </c>
      <c r="X55" s="311">
        <v>1</v>
      </c>
      <c r="Y55" s="310" t="s">
        <v>58</v>
      </c>
      <c r="Z55" s="310" t="s">
        <v>756</v>
      </c>
      <c r="AA55" s="310"/>
      <c r="AB55" s="312">
        <v>0.17369000000000001</v>
      </c>
      <c r="AC55" s="313">
        <v>159.5</v>
      </c>
      <c r="AD55" s="312">
        <v>1</v>
      </c>
      <c r="AE55" s="310"/>
      <c r="AF55" s="310"/>
      <c r="AG55" s="311"/>
      <c r="AH55" s="311"/>
      <c r="AI55" s="312"/>
      <c r="AJ55" s="310"/>
      <c r="AK55" s="314">
        <v>2706346.73</v>
      </c>
      <c r="AL55" s="314">
        <v>856153.71699999995</v>
      </c>
      <c r="AM55" s="314">
        <v>2706346.73</v>
      </c>
      <c r="AN55" s="314">
        <v>856153.71699999995</v>
      </c>
      <c r="AO55" s="314">
        <v>242681</v>
      </c>
      <c r="AP55" s="314">
        <v>76772.218999999997</v>
      </c>
      <c r="AQ55" s="314">
        <v>242681</v>
      </c>
      <c r="AR55" s="314">
        <v>50.625</v>
      </c>
      <c r="AS55" s="314">
        <v>15.936</v>
      </c>
      <c r="AT55" s="314">
        <v>0.81899999999999995</v>
      </c>
      <c r="AU55" s="314">
        <v>160833.80600000001</v>
      </c>
      <c r="AV55" s="314">
        <v>5971.0789999999997</v>
      </c>
      <c r="AW55" s="314">
        <v>595.85500000000002</v>
      </c>
      <c r="AX55" s="314">
        <v>160996.35200000001</v>
      </c>
      <c r="AY55" s="315"/>
      <c r="AZ55" s="315">
        <v>0.41699999999999998</v>
      </c>
      <c r="BA55" s="315">
        <v>0.41499999999999998</v>
      </c>
      <c r="BB55" s="315">
        <v>7.0000000000000001E-3</v>
      </c>
      <c r="BC55" s="315">
        <v>1325.4749999999999</v>
      </c>
      <c r="BD55" s="315">
        <v>2.5000000000000001E-2</v>
      </c>
      <c r="BE55" s="315">
        <v>2E-3</v>
      </c>
      <c r="BF55" s="315">
        <v>1326.8150000000001</v>
      </c>
      <c r="BG55" s="315"/>
      <c r="BH55" s="315">
        <v>3.6999999999999998E-2</v>
      </c>
      <c r="BI55" s="315">
        <v>3.6999999999999998E-2</v>
      </c>
      <c r="BJ55" s="315">
        <v>1E-3</v>
      </c>
      <c r="BK55" s="315">
        <v>118.857</v>
      </c>
      <c r="BL55" s="315">
        <v>2E-3</v>
      </c>
      <c r="BM55" s="315">
        <v>0</v>
      </c>
      <c r="BN55" s="315">
        <v>118.977</v>
      </c>
      <c r="BO55" s="315"/>
      <c r="BP55" s="315">
        <v>0.41699999999999998</v>
      </c>
      <c r="BQ55" s="315">
        <v>0.41499999999999998</v>
      </c>
      <c r="BR55" s="315">
        <v>7.0000000000000001E-3</v>
      </c>
      <c r="BS55" s="315">
        <v>1325.4749999999999</v>
      </c>
      <c r="BT55" s="315">
        <v>2.5000000000000001E-2</v>
      </c>
      <c r="BU55" s="315">
        <v>2E-3</v>
      </c>
      <c r="BV55" s="315">
        <v>1326.8150000000001</v>
      </c>
      <c r="BW55" s="311"/>
      <c r="BX55" s="311">
        <v>50.625</v>
      </c>
      <c r="BY55" s="311">
        <v>15.936</v>
      </c>
      <c r="BZ55" s="311">
        <v>0.81899999999999995</v>
      </c>
      <c r="CA55" s="311">
        <v>160833.80600000001</v>
      </c>
      <c r="CB55" s="311">
        <v>5971.0789999999997</v>
      </c>
      <c r="CC55" s="311">
        <v>595.85500000000002</v>
      </c>
      <c r="CD55" s="311">
        <v>160996.35200000001</v>
      </c>
      <c r="CE55" s="311"/>
      <c r="CF55" s="311">
        <v>2706346.73</v>
      </c>
      <c r="CG55" s="311">
        <v>856153.71699999995</v>
      </c>
      <c r="CH55" s="310">
        <v>2706346.73</v>
      </c>
      <c r="CI55" s="310">
        <v>856153.71699999995</v>
      </c>
      <c r="CJ55" s="310" t="s">
        <v>741</v>
      </c>
      <c r="CK55" s="310" t="s">
        <v>741</v>
      </c>
      <c r="CL55" s="310" t="s">
        <v>741</v>
      </c>
      <c r="CM55" s="310" t="s">
        <v>741</v>
      </c>
      <c r="CN55" s="310" t="s">
        <v>742</v>
      </c>
      <c r="CO55" s="310" t="s">
        <v>742</v>
      </c>
      <c r="CP55" s="310" t="s">
        <v>743</v>
      </c>
      <c r="CQ55" s="311" t="s">
        <v>744</v>
      </c>
      <c r="CR55" s="311" t="s">
        <v>741</v>
      </c>
      <c r="CS55" s="311" t="s">
        <v>741</v>
      </c>
      <c r="CT55" s="311"/>
      <c r="CU55" s="311"/>
      <c r="CV55" s="311"/>
      <c r="CW55" s="311"/>
      <c r="CX55" s="311"/>
      <c r="CY55" s="311"/>
      <c r="CZ55" s="311"/>
      <c r="DA55" s="311"/>
      <c r="DB55" s="311"/>
      <c r="DC55" s="311"/>
      <c r="DD55" s="311"/>
      <c r="DE55" s="316"/>
      <c r="DF55" s="314"/>
      <c r="DG55" s="314"/>
      <c r="DH55" s="314"/>
      <c r="DI55" s="314"/>
      <c r="DJ55" s="314">
        <v>11151.869038000001</v>
      </c>
      <c r="DK55" s="314">
        <v>0</v>
      </c>
      <c r="DL55" s="314">
        <v>0</v>
      </c>
      <c r="DM55" s="314">
        <v>242681</v>
      </c>
      <c r="DN55" s="314">
        <v>0</v>
      </c>
      <c r="DO55" s="314">
        <v>0</v>
      </c>
      <c r="DP55" s="314">
        <v>0</v>
      </c>
      <c r="DQ55" s="314">
        <v>0</v>
      </c>
      <c r="DR55" s="314">
        <v>0</v>
      </c>
      <c r="DS55" s="314">
        <v>0</v>
      </c>
      <c r="DT55" s="314">
        <v>0</v>
      </c>
      <c r="DU55" s="314">
        <v>0</v>
      </c>
      <c r="DV55" s="314">
        <v>242681</v>
      </c>
      <c r="DW55" s="314">
        <v>0</v>
      </c>
      <c r="DX55" s="314">
        <v>0</v>
      </c>
      <c r="DY55" s="314">
        <v>0</v>
      </c>
      <c r="DZ55" s="314">
        <v>242681</v>
      </c>
      <c r="EA55" s="314">
        <v>0</v>
      </c>
      <c r="EB55" s="314">
        <v>0</v>
      </c>
      <c r="EC55" s="317">
        <v>0</v>
      </c>
      <c r="ED55" s="317">
        <v>0</v>
      </c>
      <c r="EE55" s="317">
        <v>1</v>
      </c>
      <c r="EF55" s="317">
        <v>0</v>
      </c>
      <c r="EG55" s="317">
        <v>0</v>
      </c>
      <c r="EH55" s="317">
        <v>0</v>
      </c>
      <c r="EI55" s="317">
        <v>0</v>
      </c>
      <c r="EJ55" s="317">
        <v>0</v>
      </c>
      <c r="EK55" s="317">
        <v>0</v>
      </c>
      <c r="EL55" s="317">
        <v>0</v>
      </c>
      <c r="EM55" s="317">
        <v>0</v>
      </c>
      <c r="EN55" s="317">
        <v>1</v>
      </c>
      <c r="EO55" s="317">
        <v>0</v>
      </c>
      <c r="EP55" s="317">
        <v>0</v>
      </c>
      <c r="EQ55" s="317">
        <v>0</v>
      </c>
      <c r="ER55" s="317">
        <v>1</v>
      </c>
      <c r="ES55" s="317">
        <v>0</v>
      </c>
      <c r="ET55" s="317">
        <v>0</v>
      </c>
    </row>
    <row r="56" spans="1:150" x14ac:dyDescent="0.25">
      <c r="A56" s="310">
        <v>8460</v>
      </c>
      <c r="B56" s="310">
        <v>2023</v>
      </c>
      <c r="C56" s="310" t="s">
        <v>10</v>
      </c>
      <c r="D56" s="310" t="s">
        <v>788</v>
      </c>
      <c r="E56" s="310">
        <v>58125</v>
      </c>
      <c r="F56" s="310" t="s">
        <v>746</v>
      </c>
      <c r="G56" s="310">
        <v>17718</v>
      </c>
      <c r="H56" s="310" t="s">
        <v>746</v>
      </c>
      <c r="I56" s="310">
        <v>17718</v>
      </c>
      <c r="J56" s="310" t="s">
        <v>729</v>
      </c>
      <c r="K56" s="310" t="s">
        <v>749</v>
      </c>
      <c r="L56" s="310" t="s">
        <v>750</v>
      </c>
      <c r="M56" s="310" t="s">
        <v>732</v>
      </c>
      <c r="N56" s="310" t="s">
        <v>752</v>
      </c>
      <c r="O56" s="310" t="s">
        <v>753</v>
      </c>
      <c r="P56" s="310"/>
      <c r="Q56" s="310" t="s">
        <v>735</v>
      </c>
      <c r="R56" s="310" t="s">
        <v>789</v>
      </c>
      <c r="S56" s="310" t="s">
        <v>790</v>
      </c>
      <c r="T56" s="310">
        <v>35.182777999999999</v>
      </c>
      <c r="U56" s="310">
        <v>-103.731111</v>
      </c>
      <c r="V56" s="310"/>
      <c r="W56" s="311">
        <v>1</v>
      </c>
      <c r="X56" s="311">
        <v>1</v>
      </c>
      <c r="Y56" s="310" t="s">
        <v>791</v>
      </c>
      <c r="Z56" s="310" t="s">
        <v>792</v>
      </c>
      <c r="AA56" s="310"/>
      <c r="AB56" s="312">
        <v>3.63E-3</v>
      </c>
      <c r="AC56" s="313">
        <v>27</v>
      </c>
      <c r="AD56" s="312">
        <v>1</v>
      </c>
      <c r="AE56" s="310"/>
      <c r="AF56" s="310"/>
      <c r="AG56" s="311"/>
      <c r="AH56" s="311"/>
      <c r="AI56" s="312"/>
      <c r="AJ56" s="310"/>
      <c r="AK56" s="314">
        <v>871729</v>
      </c>
      <c r="AL56" s="314">
        <v>404143</v>
      </c>
      <c r="AM56" s="314">
        <v>871729</v>
      </c>
      <c r="AN56" s="314">
        <v>404143</v>
      </c>
      <c r="AO56" s="314">
        <v>858</v>
      </c>
      <c r="AP56" s="314">
        <v>397.77699999999999</v>
      </c>
      <c r="AQ56" s="314">
        <v>858</v>
      </c>
      <c r="AR56" s="314">
        <v>385.06299999999999</v>
      </c>
      <c r="AS56" s="314">
        <v>178.52</v>
      </c>
      <c r="AT56" s="314">
        <v>219.93600000000001</v>
      </c>
      <c r="AU56" s="314">
        <v>71187.895000000004</v>
      </c>
      <c r="AV56" s="314">
        <v>5765.5050000000001</v>
      </c>
      <c r="AW56" s="314">
        <v>1153.1010000000001</v>
      </c>
      <c r="AX56" s="314">
        <v>71421.398000000001</v>
      </c>
      <c r="AY56" s="315"/>
      <c r="AZ56" s="315">
        <v>897.58299999999997</v>
      </c>
      <c r="BA56" s="315">
        <v>897.58799999999997</v>
      </c>
      <c r="BB56" s="315">
        <v>512.67200000000003</v>
      </c>
      <c r="BC56" s="315">
        <v>165939.149</v>
      </c>
      <c r="BD56" s="315">
        <v>6.72</v>
      </c>
      <c r="BE56" s="315">
        <v>1.3440000000000001</v>
      </c>
      <c r="BF56" s="315">
        <v>166483.44500000001</v>
      </c>
      <c r="BG56" s="315"/>
      <c r="BH56" s="315">
        <v>0.88300000000000001</v>
      </c>
      <c r="BI56" s="315">
        <v>0.88300000000000001</v>
      </c>
      <c r="BJ56" s="315">
        <v>0.505</v>
      </c>
      <c r="BK56" s="315">
        <v>163.32599999999999</v>
      </c>
      <c r="BL56" s="315">
        <v>7.0000000000000001E-3</v>
      </c>
      <c r="BM56" s="315">
        <v>1E-3</v>
      </c>
      <c r="BN56" s="315">
        <v>163.86099999999999</v>
      </c>
      <c r="BO56" s="315"/>
      <c r="BP56" s="315">
        <v>897.58299999999997</v>
      </c>
      <c r="BQ56" s="315">
        <v>897.58799999999997</v>
      </c>
      <c r="BR56" s="315">
        <v>512.67200000000003</v>
      </c>
      <c r="BS56" s="315">
        <v>165939.149</v>
      </c>
      <c r="BT56" s="315">
        <v>6.72</v>
      </c>
      <c r="BU56" s="315">
        <v>1.3440000000000001</v>
      </c>
      <c r="BV56" s="315">
        <v>166483.44500000001</v>
      </c>
      <c r="BW56" s="311"/>
      <c r="BX56" s="311">
        <v>385.06299999999999</v>
      </c>
      <c r="BY56" s="311">
        <v>178.52</v>
      </c>
      <c r="BZ56" s="311">
        <v>219.93600000000001</v>
      </c>
      <c r="CA56" s="311">
        <v>71187.895000000004</v>
      </c>
      <c r="CB56" s="311">
        <v>5765.5050000000001</v>
      </c>
      <c r="CC56" s="311">
        <v>1153.1010000000001</v>
      </c>
      <c r="CD56" s="311">
        <v>71421.398000000001</v>
      </c>
      <c r="CE56" s="311"/>
      <c r="CF56" s="311">
        <v>871729</v>
      </c>
      <c r="CG56" s="311">
        <v>404143</v>
      </c>
      <c r="CH56" s="310">
        <v>871729</v>
      </c>
      <c r="CI56" s="310">
        <v>404143</v>
      </c>
      <c r="CJ56" s="310" t="s">
        <v>742</v>
      </c>
      <c r="CK56" s="310" t="s">
        <v>742</v>
      </c>
      <c r="CL56" s="310" t="s">
        <v>742</v>
      </c>
      <c r="CM56" s="310" t="s">
        <v>742</v>
      </c>
      <c r="CN56" s="310" t="s">
        <v>742</v>
      </c>
      <c r="CO56" s="310" t="s">
        <v>742</v>
      </c>
      <c r="CP56" s="310" t="s">
        <v>743</v>
      </c>
      <c r="CQ56" s="311" t="s">
        <v>744</v>
      </c>
      <c r="CR56" s="311" t="s">
        <v>742</v>
      </c>
      <c r="CS56" s="311" t="s">
        <v>742</v>
      </c>
      <c r="CT56" s="311"/>
      <c r="CU56" s="311"/>
      <c r="CV56" s="311"/>
      <c r="CW56" s="311"/>
      <c r="CX56" s="311"/>
      <c r="CY56" s="311"/>
      <c r="CZ56" s="311"/>
      <c r="DA56" s="311"/>
      <c r="DB56" s="311"/>
      <c r="DC56" s="311"/>
      <c r="DD56" s="311"/>
      <c r="DE56" s="316"/>
      <c r="DF56" s="314"/>
      <c r="DG56" s="314"/>
      <c r="DH56" s="314"/>
      <c r="DI56" s="314"/>
      <c r="DJ56" s="314">
        <v>1016001.165501</v>
      </c>
      <c r="DK56" s="314">
        <v>0</v>
      </c>
      <c r="DL56" s="314">
        <v>858</v>
      </c>
      <c r="DM56" s="314">
        <v>0</v>
      </c>
      <c r="DN56" s="314">
        <v>0</v>
      </c>
      <c r="DO56" s="314">
        <v>0</v>
      </c>
      <c r="DP56" s="314">
        <v>0</v>
      </c>
      <c r="DQ56" s="314">
        <v>0</v>
      </c>
      <c r="DR56" s="314">
        <v>0</v>
      </c>
      <c r="DS56" s="314">
        <v>0</v>
      </c>
      <c r="DT56" s="314">
        <v>0</v>
      </c>
      <c r="DU56" s="314">
        <v>0</v>
      </c>
      <c r="DV56" s="314">
        <v>858</v>
      </c>
      <c r="DW56" s="314">
        <v>0</v>
      </c>
      <c r="DX56" s="314">
        <v>0</v>
      </c>
      <c r="DY56" s="314">
        <v>0</v>
      </c>
      <c r="DZ56" s="314">
        <v>858</v>
      </c>
      <c r="EA56" s="314">
        <v>0</v>
      </c>
      <c r="EB56" s="314">
        <v>0</v>
      </c>
      <c r="EC56" s="317">
        <v>0</v>
      </c>
      <c r="ED56" s="317">
        <v>1</v>
      </c>
      <c r="EE56" s="317">
        <v>0</v>
      </c>
      <c r="EF56" s="317">
        <v>0</v>
      </c>
      <c r="EG56" s="317">
        <v>0</v>
      </c>
      <c r="EH56" s="317">
        <v>0</v>
      </c>
      <c r="EI56" s="317">
        <v>0</v>
      </c>
      <c r="EJ56" s="317">
        <v>0</v>
      </c>
      <c r="EK56" s="317">
        <v>0</v>
      </c>
      <c r="EL56" s="317">
        <v>0</v>
      </c>
      <c r="EM56" s="317">
        <v>0</v>
      </c>
      <c r="EN56" s="317">
        <v>1</v>
      </c>
      <c r="EO56" s="317">
        <v>0</v>
      </c>
      <c r="EP56" s="317">
        <v>0</v>
      </c>
      <c r="EQ56" s="317">
        <v>0</v>
      </c>
      <c r="ER56" s="317">
        <v>1</v>
      </c>
      <c r="ES56" s="317">
        <v>0</v>
      </c>
      <c r="ET56" s="317">
        <v>0</v>
      </c>
    </row>
    <row r="57" spans="1:150" x14ac:dyDescent="0.25">
      <c r="A57" s="310">
        <v>8439</v>
      </c>
      <c r="B57" s="310">
        <v>2023</v>
      </c>
      <c r="C57" s="310" t="s">
        <v>10</v>
      </c>
      <c r="D57" s="310" t="s">
        <v>793</v>
      </c>
      <c r="E57" s="310">
        <v>7967</v>
      </c>
      <c r="F57" s="310" t="s">
        <v>759</v>
      </c>
      <c r="G57" s="310">
        <v>15473</v>
      </c>
      <c r="H57" s="310" t="s">
        <v>759</v>
      </c>
      <c r="I57" s="310">
        <v>15473</v>
      </c>
      <c r="J57" s="310" t="s">
        <v>729</v>
      </c>
      <c r="K57" s="310" t="s">
        <v>760</v>
      </c>
      <c r="L57" s="310" t="s">
        <v>761</v>
      </c>
      <c r="M57" s="310" t="s">
        <v>732</v>
      </c>
      <c r="N57" s="310" t="s">
        <v>733</v>
      </c>
      <c r="O57" s="310" t="s">
        <v>734</v>
      </c>
      <c r="P57" s="310"/>
      <c r="Q57" s="310" t="s">
        <v>735</v>
      </c>
      <c r="R57" s="310" t="s">
        <v>782</v>
      </c>
      <c r="S57" s="310" t="s">
        <v>783</v>
      </c>
      <c r="T57" s="310">
        <v>32.35051</v>
      </c>
      <c r="U57" s="310">
        <v>-108.69799</v>
      </c>
      <c r="V57" s="310" t="s">
        <v>738</v>
      </c>
      <c r="W57" s="311">
        <v>2</v>
      </c>
      <c r="X57" s="311">
        <v>2</v>
      </c>
      <c r="Y57" s="310" t="s">
        <v>58</v>
      </c>
      <c r="Z57" s="310" t="s">
        <v>756</v>
      </c>
      <c r="AA57" s="310"/>
      <c r="AB57" s="312">
        <v>0.14699000000000001</v>
      </c>
      <c r="AC57" s="313">
        <v>88</v>
      </c>
      <c r="AD57" s="312">
        <v>1</v>
      </c>
      <c r="AE57" s="310"/>
      <c r="AF57" s="310"/>
      <c r="AG57" s="311"/>
      <c r="AH57" s="311"/>
      <c r="AI57" s="312"/>
      <c r="AJ57" s="310"/>
      <c r="AK57" s="314">
        <v>1180121.8</v>
      </c>
      <c r="AL57" s="314">
        <v>686926.98899999994</v>
      </c>
      <c r="AM57" s="314">
        <v>1180121.8</v>
      </c>
      <c r="AN57" s="314">
        <v>686926.98899999994</v>
      </c>
      <c r="AO57" s="314">
        <v>113310</v>
      </c>
      <c r="AP57" s="314">
        <v>65955.648000000001</v>
      </c>
      <c r="AQ57" s="314">
        <v>113310</v>
      </c>
      <c r="AR57" s="314">
        <v>47.594000000000001</v>
      </c>
      <c r="AS57" s="314">
        <v>26.661999999999999</v>
      </c>
      <c r="AT57" s="314">
        <v>0.371</v>
      </c>
      <c r="AU57" s="314">
        <v>70134.411999999997</v>
      </c>
      <c r="AV57" s="314">
        <v>2665.21</v>
      </c>
      <c r="AW57" s="314">
        <v>265.96199999999999</v>
      </c>
      <c r="AX57" s="314">
        <v>70206.964999999997</v>
      </c>
      <c r="AY57" s="315"/>
      <c r="AZ57" s="315">
        <v>0.84</v>
      </c>
      <c r="BA57" s="315">
        <v>0.80800000000000005</v>
      </c>
      <c r="BB57" s="315">
        <v>7.0000000000000001E-3</v>
      </c>
      <c r="BC57" s="315">
        <v>1237.921</v>
      </c>
      <c r="BD57" s="315">
        <v>2.4E-2</v>
      </c>
      <c r="BE57" s="315">
        <v>2E-3</v>
      </c>
      <c r="BF57" s="315">
        <v>1239.202</v>
      </c>
      <c r="BG57" s="315"/>
      <c r="BH57" s="315">
        <v>8.1000000000000003E-2</v>
      </c>
      <c r="BI57" s="315">
        <v>7.8E-2</v>
      </c>
      <c r="BJ57" s="315">
        <v>1E-3</v>
      </c>
      <c r="BK57" s="315">
        <v>118.86</v>
      </c>
      <c r="BL57" s="315">
        <v>2E-3</v>
      </c>
      <c r="BM57" s="315">
        <v>0</v>
      </c>
      <c r="BN57" s="315">
        <v>118.983</v>
      </c>
      <c r="BO57" s="315"/>
      <c r="BP57" s="315">
        <v>0.84</v>
      </c>
      <c r="BQ57" s="315">
        <v>0.80800000000000005</v>
      </c>
      <c r="BR57" s="315">
        <v>7.0000000000000001E-3</v>
      </c>
      <c r="BS57" s="315">
        <v>1237.921</v>
      </c>
      <c r="BT57" s="315">
        <v>2.4E-2</v>
      </c>
      <c r="BU57" s="315">
        <v>2E-3</v>
      </c>
      <c r="BV57" s="315">
        <v>1239.202</v>
      </c>
      <c r="BW57" s="311"/>
      <c r="BX57" s="311">
        <v>47.594000000000001</v>
      </c>
      <c r="BY57" s="311">
        <v>26.661999999999999</v>
      </c>
      <c r="BZ57" s="311">
        <v>0.371</v>
      </c>
      <c r="CA57" s="311">
        <v>70134.411999999997</v>
      </c>
      <c r="CB57" s="311">
        <v>2665.21</v>
      </c>
      <c r="CC57" s="311">
        <v>265.96199999999999</v>
      </c>
      <c r="CD57" s="311">
        <v>70206.964999999997</v>
      </c>
      <c r="CE57" s="311"/>
      <c r="CF57" s="311">
        <v>1180121.8</v>
      </c>
      <c r="CG57" s="311">
        <v>686926.98899999994</v>
      </c>
      <c r="CH57" s="310">
        <v>1180121.8</v>
      </c>
      <c r="CI57" s="310">
        <v>686926.98899999994</v>
      </c>
      <c r="CJ57" s="310" t="s">
        <v>741</v>
      </c>
      <c r="CK57" s="310" t="s">
        <v>741</v>
      </c>
      <c r="CL57" s="310" t="s">
        <v>741</v>
      </c>
      <c r="CM57" s="310" t="s">
        <v>741</v>
      </c>
      <c r="CN57" s="310" t="s">
        <v>742</v>
      </c>
      <c r="CO57" s="310" t="s">
        <v>742</v>
      </c>
      <c r="CP57" s="310" t="s">
        <v>743</v>
      </c>
      <c r="CQ57" s="311" t="s">
        <v>744</v>
      </c>
      <c r="CR57" s="311" t="s">
        <v>741</v>
      </c>
      <c r="CS57" s="311" t="s">
        <v>741</v>
      </c>
      <c r="CT57" s="311"/>
      <c r="CU57" s="311"/>
      <c r="CV57" s="311"/>
      <c r="CW57" s="311"/>
      <c r="CX57" s="311"/>
      <c r="CY57" s="311"/>
      <c r="CZ57" s="311"/>
      <c r="DA57" s="311"/>
      <c r="DB57" s="311"/>
      <c r="DC57" s="311"/>
      <c r="DD57" s="311"/>
      <c r="DE57" s="316"/>
      <c r="DF57" s="314"/>
      <c r="DG57" s="314"/>
      <c r="DH57" s="314"/>
      <c r="DI57" s="314"/>
      <c r="DJ57" s="314">
        <v>10414.983673000001</v>
      </c>
      <c r="DK57" s="314">
        <v>0</v>
      </c>
      <c r="DL57" s="314">
        <v>0</v>
      </c>
      <c r="DM57" s="314">
        <v>113310</v>
      </c>
      <c r="DN57" s="314">
        <v>0</v>
      </c>
      <c r="DO57" s="314">
        <v>0</v>
      </c>
      <c r="DP57" s="314">
        <v>0</v>
      </c>
      <c r="DQ57" s="314">
        <v>0</v>
      </c>
      <c r="DR57" s="314">
        <v>0</v>
      </c>
      <c r="DS57" s="314">
        <v>0</v>
      </c>
      <c r="DT57" s="314">
        <v>0</v>
      </c>
      <c r="DU57" s="314">
        <v>0</v>
      </c>
      <c r="DV57" s="314">
        <v>113310</v>
      </c>
      <c r="DW57" s="314">
        <v>0</v>
      </c>
      <c r="DX57" s="314">
        <v>0</v>
      </c>
      <c r="DY57" s="314">
        <v>0</v>
      </c>
      <c r="DZ57" s="314">
        <v>113310</v>
      </c>
      <c r="EA57" s="314">
        <v>0</v>
      </c>
      <c r="EB57" s="314">
        <v>0</v>
      </c>
      <c r="EC57" s="317">
        <v>0</v>
      </c>
      <c r="ED57" s="317">
        <v>0</v>
      </c>
      <c r="EE57" s="317">
        <v>1</v>
      </c>
      <c r="EF57" s="317">
        <v>0</v>
      </c>
      <c r="EG57" s="317">
        <v>0</v>
      </c>
      <c r="EH57" s="317">
        <v>0</v>
      </c>
      <c r="EI57" s="317">
        <v>0</v>
      </c>
      <c r="EJ57" s="317">
        <v>0</v>
      </c>
      <c r="EK57" s="317">
        <v>0</v>
      </c>
      <c r="EL57" s="317">
        <v>0</v>
      </c>
      <c r="EM57" s="317">
        <v>0</v>
      </c>
      <c r="EN57" s="317">
        <v>1</v>
      </c>
      <c r="EO57" s="317">
        <v>0</v>
      </c>
      <c r="EP57" s="317">
        <v>0</v>
      </c>
      <c r="EQ57" s="317">
        <v>0</v>
      </c>
      <c r="ER57" s="317">
        <v>1</v>
      </c>
      <c r="ES57" s="317">
        <v>0</v>
      </c>
      <c r="ET57" s="317">
        <v>0</v>
      </c>
    </row>
    <row r="58" spans="1:150" x14ac:dyDescent="0.25">
      <c r="A58" s="310">
        <v>8400</v>
      </c>
      <c r="B58" s="310">
        <v>2023</v>
      </c>
      <c r="C58" s="310" t="s">
        <v>10</v>
      </c>
      <c r="D58" s="310" t="s">
        <v>55</v>
      </c>
      <c r="E58" s="310">
        <v>54667</v>
      </c>
      <c r="F58" s="310" t="s">
        <v>759</v>
      </c>
      <c r="G58" s="310">
        <v>15473</v>
      </c>
      <c r="H58" s="310" t="s">
        <v>56</v>
      </c>
      <c r="I58" s="310">
        <v>3670</v>
      </c>
      <c r="J58" s="310" t="s">
        <v>57</v>
      </c>
      <c r="K58" s="310" t="s">
        <v>760</v>
      </c>
      <c r="L58" s="310" t="s">
        <v>761</v>
      </c>
      <c r="M58" s="310" t="s">
        <v>732</v>
      </c>
      <c r="N58" s="310" t="s">
        <v>733</v>
      </c>
      <c r="O58" s="310" t="s">
        <v>734</v>
      </c>
      <c r="P58" s="310"/>
      <c r="Q58" s="310" t="s">
        <v>735</v>
      </c>
      <c r="R58" s="310" t="s">
        <v>794</v>
      </c>
      <c r="S58" s="310" t="s">
        <v>795</v>
      </c>
      <c r="T58" s="310">
        <v>32.695599999999999</v>
      </c>
      <c r="U58" s="310">
        <v>-108.1225</v>
      </c>
      <c r="V58" s="310"/>
      <c r="W58" s="311">
        <v>2</v>
      </c>
      <c r="X58" s="311">
        <v>2</v>
      </c>
      <c r="Y58" s="310" t="s">
        <v>58</v>
      </c>
      <c r="Z58" s="310" t="s">
        <v>756</v>
      </c>
      <c r="AA58" s="310"/>
      <c r="AB58" s="312">
        <v>0.14227999999999999</v>
      </c>
      <c r="AC58" s="313">
        <v>54</v>
      </c>
      <c r="AD58" s="312">
        <v>1</v>
      </c>
      <c r="AE58" s="310"/>
      <c r="AF58" s="310"/>
      <c r="AG58" s="311"/>
      <c r="AH58" s="311"/>
      <c r="AI58" s="312"/>
      <c r="AJ58" s="310"/>
      <c r="AK58" s="314">
        <v>824735.09400000004</v>
      </c>
      <c r="AL58" s="314">
        <v>530066.32799999998</v>
      </c>
      <c r="AM58" s="314">
        <v>824735.09400000004</v>
      </c>
      <c r="AN58" s="314">
        <v>530066.32799999998</v>
      </c>
      <c r="AO58" s="314">
        <v>67302</v>
      </c>
      <c r="AP58" s="314">
        <v>43107</v>
      </c>
      <c r="AQ58" s="314">
        <v>67302</v>
      </c>
      <c r="AR58" s="314">
        <v>33.402000000000001</v>
      </c>
      <c r="AS58" s="314">
        <v>23.058</v>
      </c>
      <c r="AT58" s="314">
        <v>0.24</v>
      </c>
      <c r="AU58" s="314">
        <v>48201.254000000001</v>
      </c>
      <c r="AV58" s="314">
        <v>1818.2329999999999</v>
      </c>
      <c r="AW58" s="314">
        <v>181.44200000000001</v>
      </c>
      <c r="AX58" s="314">
        <v>48250.75</v>
      </c>
      <c r="AY58" s="315"/>
      <c r="AZ58" s="315">
        <v>0.99299999999999999</v>
      </c>
      <c r="BA58" s="315">
        <v>1.07</v>
      </c>
      <c r="BB58" s="315">
        <v>7.0000000000000001E-3</v>
      </c>
      <c r="BC58" s="315">
        <v>1432.3869999999999</v>
      </c>
      <c r="BD58" s="315">
        <v>2.7E-2</v>
      </c>
      <c r="BE58" s="315">
        <v>3.0000000000000001E-3</v>
      </c>
      <c r="BF58" s="315">
        <v>1433.8579999999999</v>
      </c>
      <c r="BG58" s="315"/>
      <c r="BH58" s="315">
        <v>8.1000000000000003E-2</v>
      </c>
      <c r="BI58" s="315">
        <v>8.6999999999999994E-2</v>
      </c>
      <c r="BJ58" s="315">
        <v>1E-3</v>
      </c>
      <c r="BK58" s="315">
        <v>116.889</v>
      </c>
      <c r="BL58" s="315">
        <v>2E-3</v>
      </c>
      <c r="BM58" s="315">
        <v>0</v>
      </c>
      <c r="BN58" s="315">
        <v>117.009</v>
      </c>
      <c r="BO58" s="315"/>
      <c r="BP58" s="315">
        <v>0.99299999999999999</v>
      </c>
      <c r="BQ58" s="315">
        <v>1.07</v>
      </c>
      <c r="BR58" s="315">
        <v>7.0000000000000001E-3</v>
      </c>
      <c r="BS58" s="315">
        <v>1432.3869999999999</v>
      </c>
      <c r="BT58" s="315">
        <v>2.7E-2</v>
      </c>
      <c r="BU58" s="315">
        <v>3.0000000000000001E-3</v>
      </c>
      <c r="BV58" s="315">
        <v>1433.8579999999999</v>
      </c>
      <c r="BW58" s="311"/>
      <c r="BX58" s="311">
        <v>33.402000000000001</v>
      </c>
      <c r="BY58" s="311">
        <v>23.058</v>
      </c>
      <c r="BZ58" s="311">
        <v>0.24</v>
      </c>
      <c r="CA58" s="311">
        <v>48201.254000000001</v>
      </c>
      <c r="CB58" s="311">
        <v>1818.2329999999999</v>
      </c>
      <c r="CC58" s="311">
        <v>181.44200000000001</v>
      </c>
      <c r="CD58" s="311">
        <v>48250.75</v>
      </c>
      <c r="CE58" s="311"/>
      <c r="CF58" s="311">
        <v>824735.09400000004</v>
      </c>
      <c r="CG58" s="311">
        <v>530066.32799999998</v>
      </c>
      <c r="CH58" s="310">
        <v>824735.09400000004</v>
      </c>
      <c r="CI58" s="310">
        <v>530066.32799999998</v>
      </c>
      <c r="CJ58" s="310"/>
      <c r="CK58" s="310"/>
      <c r="CL58" s="310" t="s">
        <v>742</v>
      </c>
      <c r="CM58" s="310" t="s">
        <v>742</v>
      </c>
      <c r="CN58" s="310" t="s">
        <v>742</v>
      </c>
      <c r="CO58" s="310" t="s">
        <v>742</v>
      </c>
      <c r="CP58" s="310" t="s">
        <v>743</v>
      </c>
      <c r="CQ58" s="311" t="s">
        <v>744</v>
      </c>
      <c r="CR58" s="311" t="s">
        <v>742</v>
      </c>
      <c r="CS58" s="311" t="s">
        <v>742</v>
      </c>
      <c r="CT58" s="311"/>
      <c r="CU58" s="311"/>
      <c r="CV58" s="311"/>
      <c r="CW58" s="311"/>
      <c r="CX58" s="311"/>
      <c r="CY58" s="311"/>
      <c r="CZ58" s="311"/>
      <c r="DA58" s="311"/>
      <c r="DB58" s="311"/>
      <c r="DC58" s="311"/>
      <c r="DD58" s="311"/>
      <c r="DE58" s="316"/>
      <c r="DF58" s="314"/>
      <c r="DG58" s="314"/>
      <c r="DH58" s="314"/>
      <c r="DI58" s="314"/>
      <c r="DJ58" s="314">
        <v>12254.243469999999</v>
      </c>
      <c r="DK58" s="314">
        <v>0</v>
      </c>
      <c r="DL58" s="314">
        <v>0</v>
      </c>
      <c r="DM58" s="314">
        <v>67302</v>
      </c>
      <c r="DN58" s="314">
        <v>0</v>
      </c>
      <c r="DO58" s="314">
        <v>0</v>
      </c>
      <c r="DP58" s="314">
        <v>0</v>
      </c>
      <c r="DQ58" s="314">
        <v>0</v>
      </c>
      <c r="DR58" s="314">
        <v>0</v>
      </c>
      <c r="DS58" s="314">
        <v>0</v>
      </c>
      <c r="DT58" s="314">
        <v>0</v>
      </c>
      <c r="DU58" s="314">
        <v>0</v>
      </c>
      <c r="DV58" s="314">
        <v>67302</v>
      </c>
      <c r="DW58" s="314">
        <v>0</v>
      </c>
      <c r="DX58" s="314">
        <v>0</v>
      </c>
      <c r="DY58" s="314">
        <v>0</v>
      </c>
      <c r="DZ58" s="314">
        <v>67302</v>
      </c>
      <c r="EA58" s="314">
        <v>0</v>
      </c>
      <c r="EB58" s="314">
        <v>0</v>
      </c>
      <c r="EC58" s="317">
        <v>0</v>
      </c>
      <c r="ED58" s="317">
        <v>0</v>
      </c>
      <c r="EE58" s="317">
        <v>1</v>
      </c>
      <c r="EF58" s="317">
        <v>0</v>
      </c>
      <c r="EG58" s="317">
        <v>0</v>
      </c>
      <c r="EH58" s="317">
        <v>0</v>
      </c>
      <c r="EI58" s="317">
        <v>0</v>
      </c>
      <c r="EJ58" s="317">
        <v>0</v>
      </c>
      <c r="EK58" s="317">
        <v>0</v>
      </c>
      <c r="EL58" s="317">
        <v>0</v>
      </c>
      <c r="EM58" s="317">
        <v>0</v>
      </c>
      <c r="EN58" s="317">
        <v>1</v>
      </c>
      <c r="EO58" s="317">
        <v>0</v>
      </c>
      <c r="EP58" s="317">
        <v>0</v>
      </c>
      <c r="EQ58" s="317">
        <v>0</v>
      </c>
      <c r="ER58" s="317">
        <v>1</v>
      </c>
      <c r="ES58" s="317">
        <v>0</v>
      </c>
      <c r="ET58" s="317">
        <v>0</v>
      </c>
    </row>
    <row r="59" spans="1:150" x14ac:dyDescent="0.25">
      <c r="A59" s="310">
        <v>8436</v>
      </c>
      <c r="B59" s="310">
        <v>2023</v>
      </c>
      <c r="C59" s="310" t="s">
        <v>10</v>
      </c>
      <c r="D59" s="310" t="s">
        <v>796</v>
      </c>
      <c r="E59" s="310">
        <v>58284</v>
      </c>
      <c r="F59" s="310" t="s">
        <v>759</v>
      </c>
      <c r="G59" s="310">
        <v>15473</v>
      </c>
      <c r="H59" s="310" t="s">
        <v>759</v>
      </c>
      <c r="I59" s="310">
        <v>15473</v>
      </c>
      <c r="J59" s="310" t="s">
        <v>729</v>
      </c>
      <c r="K59" s="310" t="s">
        <v>760</v>
      </c>
      <c r="L59" s="310" t="s">
        <v>761</v>
      </c>
      <c r="M59" s="310" t="s">
        <v>732</v>
      </c>
      <c r="N59" s="310" t="s">
        <v>733</v>
      </c>
      <c r="O59" s="310" t="s">
        <v>734</v>
      </c>
      <c r="P59" s="310"/>
      <c r="Q59" s="310" t="s">
        <v>735</v>
      </c>
      <c r="R59" s="310" t="s">
        <v>786</v>
      </c>
      <c r="S59" s="310" t="s">
        <v>787</v>
      </c>
      <c r="T59" s="310">
        <v>34.616110999999997</v>
      </c>
      <c r="U59" s="310">
        <v>-106.815</v>
      </c>
      <c r="V59" s="310" t="s">
        <v>738</v>
      </c>
      <c r="W59" s="311">
        <v>1</v>
      </c>
      <c r="X59" s="311">
        <v>1</v>
      </c>
      <c r="Y59" s="310" t="s">
        <v>58</v>
      </c>
      <c r="Z59" s="310" t="s">
        <v>756</v>
      </c>
      <c r="AA59" s="310"/>
      <c r="AB59" s="312">
        <v>0.18278</v>
      </c>
      <c r="AC59" s="313">
        <v>42.3</v>
      </c>
      <c r="AD59" s="312">
        <v>1</v>
      </c>
      <c r="AE59" s="310"/>
      <c r="AF59" s="310"/>
      <c r="AG59" s="311"/>
      <c r="AH59" s="311"/>
      <c r="AI59" s="312"/>
      <c r="AJ59" s="310"/>
      <c r="AK59" s="314">
        <v>671930.31599999999</v>
      </c>
      <c r="AL59" s="314">
        <v>220106.61499999999</v>
      </c>
      <c r="AM59" s="314">
        <v>671930.31599999999</v>
      </c>
      <c r="AN59" s="314">
        <v>220106.61499999999</v>
      </c>
      <c r="AO59" s="314">
        <v>67728</v>
      </c>
      <c r="AP59" s="314">
        <v>31325.161</v>
      </c>
      <c r="AQ59" s="314">
        <v>67728</v>
      </c>
      <c r="AR59" s="314">
        <v>3.444</v>
      </c>
      <c r="AS59" s="314">
        <v>1.512</v>
      </c>
      <c r="AT59" s="314">
        <v>0.21199999999999999</v>
      </c>
      <c r="AU59" s="314">
        <v>39932.565999999999</v>
      </c>
      <c r="AV59" s="314">
        <v>0.14599999999999999</v>
      </c>
      <c r="AW59" s="314">
        <v>1.4999999999999999E-2</v>
      </c>
      <c r="AX59" s="314">
        <v>39932.57</v>
      </c>
      <c r="AY59" s="315"/>
      <c r="AZ59" s="315">
        <v>0.10199999999999999</v>
      </c>
      <c r="BA59" s="315">
        <v>9.7000000000000003E-2</v>
      </c>
      <c r="BB59" s="315">
        <v>6.0000000000000001E-3</v>
      </c>
      <c r="BC59" s="315">
        <v>1179.204</v>
      </c>
      <c r="BD59" s="315">
        <v>0</v>
      </c>
      <c r="BE59" s="315">
        <v>0</v>
      </c>
      <c r="BF59" s="315">
        <v>1179.204</v>
      </c>
      <c r="BG59" s="315"/>
      <c r="BH59" s="315">
        <v>0.01</v>
      </c>
      <c r="BI59" s="315">
        <v>1.4E-2</v>
      </c>
      <c r="BJ59" s="315">
        <v>1E-3</v>
      </c>
      <c r="BK59" s="315">
        <v>118.85899999999999</v>
      </c>
      <c r="BL59" s="315">
        <v>0</v>
      </c>
      <c r="BM59" s="315">
        <v>0</v>
      </c>
      <c r="BN59" s="315">
        <v>118.85899999999999</v>
      </c>
      <c r="BO59" s="315"/>
      <c r="BP59" s="315">
        <v>0.10199999999999999</v>
      </c>
      <c r="BQ59" s="315">
        <v>9.7000000000000003E-2</v>
      </c>
      <c r="BR59" s="315">
        <v>6.0000000000000001E-3</v>
      </c>
      <c r="BS59" s="315">
        <v>1179.204</v>
      </c>
      <c r="BT59" s="315">
        <v>0</v>
      </c>
      <c r="BU59" s="315">
        <v>0</v>
      </c>
      <c r="BV59" s="315">
        <v>1179.204</v>
      </c>
      <c r="BW59" s="311"/>
      <c r="BX59" s="311">
        <v>3.444</v>
      </c>
      <c r="BY59" s="311">
        <v>1.512</v>
      </c>
      <c r="BZ59" s="311">
        <v>0.21199999999999999</v>
      </c>
      <c r="CA59" s="311">
        <v>39932.565999999999</v>
      </c>
      <c r="CB59" s="311">
        <v>0.14599999999999999</v>
      </c>
      <c r="CC59" s="311">
        <v>1.4999999999999999E-2</v>
      </c>
      <c r="CD59" s="311">
        <v>39932.57</v>
      </c>
      <c r="CE59" s="311"/>
      <c r="CF59" s="311">
        <v>671930.31599999999</v>
      </c>
      <c r="CG59" s="311">
        <v>220106.61499999999</v>
      </c>
      <c r="CH59" s="310">
        <v>671930.31599999999</v>
      </c>
      <c r="CI59" s="310">
        <v>220106.61499999999</v>
      </c>
      <c r="CJ59" s="310" t="s">
        <v>741</v>
      </c>
      <c r="CK59" s="310" t="s">
        <v>741</v>
      </c>
      <c r="CL59" s="310" t="s">
        <v>741</v>
      </c>
      <c r="CM59" s="310" t="s">
        <v>741</v>
      </c>
      <c r="CN59" s="310" t="s">
        <v>742</v>
      </c>
      <c r="CO59" s="310" t="s">
        <v>742</v>
      </c>
      <c r="CP59" s="310" t="s">
        <v>743</v>
      </c>
      <c r="CQ59" s="311" t="s">
        <v>744</v>
      </c>
      <c r="CR59" s="311" t="s">
        <v>741</v>
      </c>
      <c r="CS59" s="311" t="s">
        <v>741</v>
      </c>
      <c r="CT59" s="311"/>
      <c r="CU59" s="311"/>
      <c r="CV59" s="311"/>
      <c r="CW59" s="311"/>
      <c r="CX59" s="311"/>
      <c r="CY59" s="311"/>
      <c r="CZ59" s="311"/>
      <c r="DA59" s="311"/>
      <c r="DB59" s="311"/>
      <c r="DC59" s="311"/>
      <c r="DD59" s="311"/>
      <c r="DE59" s="316"/>
      <c r="DF59" s="314"/>
      <c r="DG59" s="314"/>
      <c r="DH59" s="314"/>
      <c r="DI59" s="314"/>
      <c r="DJ59" s="314">
        <v>9921.0122250000004</v>
      </c>
      <c r="DK59" s="314">
        <v>0</v>
      </c>
      <c r="DL59" s="314">
        <v>0</v>
      </c>
      <c r="DM59" s="314">
        <v>67728</v>
      </c>
      <c r="DN59" s="314">
        <v>0</v>
      </c>
      <c r="DO59" s="314">
        <v>0</v>
      </c>
      <c r="DP59" s="314">
        <v>0</v>
      </c>
      <c r="DQ59" s="314">
        <v>0</v>
      </c>
      <c r="DR59" s="314">
        <v>0</v>
      </c>
      <c r="DS59" s="314">
        <v>0</v>
      </c>
      <c r="DT59" s="314">
        <v>0</v>
      </c>
      <c r="DU59" s="314">
        <v>0</v>
      </c>
      <c r="DV59" s="314">
        <v>67728</v>
      </c>
      <c r="DW59" s="314">
        <v>0</v>
      </c>
      <c r="DX59" s="314">
        <v>0</v>
      </c>
      <c r="DY59" s="314">
        <v>0</v>
      </c>
      <c r="DZ59" s="314">
        <v>67728</v>
      </c>
      <c r="EA59" s="314">
        <v>0</v>
      </c>
      <c r="EB59" s="314">
        <v>0</v>
      </c>
      <c r="EC59" s="317">
        <v>0</v>
      </c>
      <c r="ED59" s="317">
        <v>0</v>
      </c>
      <c r="EE59" s="317">
        <v>1</v>
      </c>
      <c r="EF59" s="317">
        <v>0</v>
      </c>
      <c r="EG59" s="317">
        <v>0</v>
      </c>
      <c r="EH59" s="317">
        <v>0</v>
      </c>
      <c r="EI59" s="317">
        <v>0</v>
      </c>
      <c r="EJ59" s="317">
        <v>0</v>
      </c>
      <c r="EK59" s="317">
        <v>0</v>
      </c>
      <c r="EL59" s="317">
        <v>0</v>
      </c>
      <c r="EM59" s="317">
        <v>0</v>
      </c>
      <c r="EN59" s="317">
        <v>1</v>
      </c>
      <c r="EO59" s="317">
        <v>0</v>
      </c>
      <c r="EP59" s="317">
        <v>0</v>
      </c>
      <c r="EQ59" s="317">
        <v>0</v>
      </c>
      <c r="ER59" s="317">
        <v>1</v>
      </c>
      <c r="ES59" s="317">
        <v>0</v>
      </c>
      <c r="ET59" s="317">
        <v>0</v>
      </c>
    </row>
    <row r="60" spans="1:150" x14ac:dyDescent="0.25">
      <c r="A60" s="310">
        <v>8434</v>
      </c>
      <c r="B60" s="310">
        <v>2023</v>
      </c>
      <c r="C60" s="310" t="s">
        <v>10</v>
      </c>
      <c r="D60" s="310" t="s">
        <v>797</v>
      </c>
      <c r="E60" s="310">
        <v>57872</v>
      </c>
      <c r="F60" s="310" t="s">
        <v>798</v>
      </c>
      <c r="G60" s="310">
        <v>10817</v>
      </c>
      <c r="H60" s="310" t="s">
        <v>799</v>
      </c>
      <c r="I60" s="310">
        <v>20447</v>
      </c>
      <c r="J60" s="310" t="s">
        <v>729</v>
      </c>
      <c r="K60" s="310" t="s">
        <v>749</v>
      </c>
      <c r="L60" s="310" t="s">
        <v>750</v>
      </c>
      <c r="M60" s="310" t="s">
        <v>751</v>
      </c>
      <c r="N60" s="310" t="s">
        <v>752</v>
      </c>
      <c r="O60" s="310" t="s">
        <v>753</v>
      </c>
      <c r="P60" s="310"/>
      <c r="Q60" s="310" t="s">
        <v>735</v>
      </c>
      <c r="R60" s="310" t="s">
        <v>754</v>
      </c>
      <c r="S60" s="310" t="s">
        <v>755</v>
      </c>
      <c r="T60" s="310">
        <v>32.978056000000002</v>
      </c>
      <c r="U60" s="310">
        <v>-103.32388899999999</v>
      </c>
      <c r="V60" s="310"/>
      <c r="W60" s="311">
        <v>5</v>
      </c>
      <c r="X60" s="311">
        <v>5</v>
      </c>
      <c r="Y60" s="310" t="s">
        <v>58</v>
      </c>
      <c r="Z60" s="310" t="s">
        <v>756</v>
      </c>
      <c r="AA60" s="310"/>
      <c r="AB60" s="312">
        <v>0.10825</v>
      </c>
      <c r="AC60" s="313">
        <v>46.5</v>
      </c>
      <c r="AD60" s="312">
        <v>1</v>
      </c>
      <c r="AE60" s="310"/>
      <c r="AF60" s="310"/>
      <c r="AG60" s="311"/>
      <c r="AH60" s="311"/>
      <c r="AI60" s="312"/>
      <c r="AJ60" s="310"/>
      <c r="AK60" s="314">
        <v>425409</v>
      </c>
      <c r="AL60" s="314">
        <v>196757</v>
      </c>
      <c r="AM60" s="314">
        <v>425409</v>
      </c>
      <c r="AN60" s="314">
        <v>196757</v>
      </c>
      <c r="AO60" s="314">
        <v>44096</v>
      </c>
      <c r="AP60" s="314">
        <v>20395.025000000001</v>
      </c>
      <c r="AQ60" s="314">
        <v>44096</v>
      </c>
      <c r="AR60" s="314">
        <v>570.51</v>
      </c>
      <c r="AS60" s="314">
        <v>263.87</v>
      </c>
      <c r="AT60" s="314">
        <v>0.68</v>
      </c>
      <c r="AU60" s="314">
        <v>24862.83</v>
      </c>
      <c r="AV60" s="314">
        <v>937.86699999999996</v>
      </c>
      <c r="AW60" s="314">
        <v>93.59</v>
      </c>
      <c r="AX60" s="314">
        <v>24888.361000000001</v>
      </c>
      <c r="AY60" s="315"/>
      <c r="AZ60" s="315">
        <v>25.876000000000001</v>
      </c>
      <c r="BA60" s="315">
        <v>25.876000000000001</v>
      </c>
      <c r="BB60" s="315">
        <v>3.1E-2</v>
      </c>
      <c r="BC60" s="315">
        <v>1127.6679999999999</v>
      </c>
      <c r="BD60" s="315">
        <v>2.1000000000000001E-2</v>
      </c>
      <c r="BE60" s="315">
        <v>2E-3</v>
      </c>
      <c r="BF60" s="315">
        <v>1128.826</v>
      </c>
      <c r="BG60" s="315"/>
      <c r="BH60" s="315">
        <v>2.6819999999999999</v>
      </c>
      <c r="BI60" s="315">
        <v>2.6819999999999999</v>
      </c>
      <c r="BJ60" s="315">
        <v>3.0000000000000001E-3</v>
      </c>
      <c r="BK60" s="315">
        <v>116.889</v>
      </c>
      <c r="BL60" s="315">
        <v>2E-3</v>
      </c>
      <c r="BM60" s="315">
        <v>0</v>
      </c>
      <c r="BN60" s="315">
        <v>117.009</v>
      </c>
      <c r="BO60" s="315"/>
      <c r="BP60" s="315">
        <v>25.876000000000001</v>
      </c>
      <c r="BQ60" s="315">
        <v>25.876000000000001</v>
      </c>
      <c r="BR60" s="315">
        <v>3.1E-2</v>
      </c>
      <c r="BS60" s="315">
        <v>1127.6679999999999</v>
      </c>
      <c r="BT60" s="315">
        <v>2.1000000000000001E-2</v>
      </c>
      <c r="BU60" s="315">
        <v>2E-3</v>
      </c>
      <c r="BV60" s="315">
        <v>1128.826</v>
      </c>
      <c r="BW60" s="311"/>
      <c r="BX60" s="311">
        <v>570.51</v>
      </c>
      <c r="BY60" s="311">
        <v>263.87</v>
      </c>
      <c r="BZ60" s="311">
        <v>0.68</v>
      </c>
      <c r="CA60" s="311">
        <v>24862.83</v>
      </c>
      <c r="CB60" s="311">
        <v>937.86699999999996</v>
      </c>
      <c r="CC60" s="311">
        <v>93.59</v>
      </c>
      <c r="CD60" s="311">
        <v>24888.361000000001</v>
      </c>
      <c r="CE60" s="311"/>
      <c r="CF60" s="311">
        <v>425409</v>
      </c>
      <c r="CG60" s="311">
        <v>196757</v>
      </c>
      <c r="CH60" s="310">
        <v>425409</v>
      </c>
      <c r="CI60" s="310">
        <v>196757</v>
      </c>
      <c r="CJ60" s="310" t="s">
        <v>742</v>
      </c>
      <c r="CK60" s="310" t="s">
        <v>742</v>
      </c>
      <c r="CL60" s="310" t="s">
        <v>742</v>
      </c>
      <c r="CM60" s="310" t="s">
        <v>742</v>
      </c>
      <c r="CN60" s="310" t="s">
        <v>742</v>
      </c>
      <c r="CO60" s="310" t="s">
        <v>742</v>
      </c>
      <c r="CP60" s="310" t="s">
        <v>743</v>
      </c>
      <c r="CQ60" s="311" t="s">
        <v>744</v>
      </c>
      <c r="CR60" s="311" t="s">
        <v>742</v>
      </c>
      <c r="CS60" s="311" t="s">
        <v>742</v>
      </c>
      <c r="CT60" s="311"/>
      <c r="CU60" s="311"/>
      <c r="CV60" s="311"/>
      <c r="CW60" s="311"/>
      <c r="CX60" s="311"/>
      <c r="CY60" s="311"/>
      <c r="CZ60" s="311"/>
      <c r="DA60" s="311"/>
      <c r="DB60" s="311"/>
      <c r="DC60" s="311"/>
      <c r="DD60" s="311"/>
      <c r="DE60" s="316"/>
      <c r="DF60" s="314"/>
      <c r="DG60" s="314"/>
      <c r="DH60" s="314"/>
      <c r="DI60" s="314"/>
      <c r="DJ60" s="314">
        <v>9647.3376270000008</v>
      </c>
      <c r="DK60" s="314">
        <v>0</v>
      </c>
      <c r="DL60" s="314">
        <v>0</v>
      </c>
      <c r="DM60" s="314">
        <v>44096</v>
      </c>
      <c r="DN60" s="314">
        <v>0</v>
      </c>
      <c r="DO60" s="314">
        <v>0</v>
      </c>
      <c r="DP60" s="314">
        <v>0</v>
      </c>
      <c r="DQ60" s="314">
        <v>0</v>
      </c>
      <c r="DR60" s="314">
        <v>0</v>
      </c>
      <c r="DS60" s="314">
        <v>0</v>
      </c>
      <c r="DT60" s="314">
        <v>0</v>
      </c>
      <c r="DU60" s="314">
        <v>0</v>
      </c>
      <c r="DV60" s="314">
        <v>44096</v>
      </c>
      <c r="DW60" s="314">
        <v>0</v>
      </c>
      <c r="DX60" s="314">
        <v>0</v>
      </c>
      <c r="DY60" s="314">
        <v>0</v>
      </c>
      <c r="DZ60" s="314">
        <v>44096</v>
      </c>
      <c r="EA60" s="314">
        <v>0</v>
      </c>
      <c r="EB60" s="314">
        <v>0</v>
      </c>
      <c r="EC60" s="317">
        <v>0</v>
      </c>
      <c r="ED60" s="317">
        <v>0</v>
      </c>
      <c r="EE60" s="317">
        <v>1</v>
      </c>
      <c r="EF60" s="317">
        <v>0</v>
      </c>
      <c r="EG60" s="317">
        <v>0</v>
      </c>
      <c r="EH60" s="317">
        <v>0</v>
      </c>
      <c r="EI60" s="317">
        <v>0</v>
      </c>
      <c r="EJ60" s="317">
        <v>0</v>
      </c>
      <c r="EK60" s="317">
        <v>0</v>
      </c>
      <c r="EL60" s="317">
        <v>0</v>
      </c>
      <c r="EM60" s="317">
        <v>0</v>
      </c>
      <c r="EN60" s="317">
        <v>1</v>
      </c>
      <c r="EO60" s="317">
        <v>0</v>
      </c>
      <c r="EP60" s="317">
        <v>0</v>
      </c>
      <c r="EQ60" s="317">
        <v>0</v>
      </c>
      <c r="ER60" s="317">
        <v>1</v>
      </c>
      <c r="ES60" s="317">
        <v>0</v>
      </c>
      <c r="ET60" s="317">
        <v>0</v>
      </c>
    </row>
    <row r="61" spans="1:150" x14ac:dyDescent="0.25">
      <c r="A61" s="310">
        <v>8420</v>
      </c>
      <c r="B61" s="310">
        <v>2023</v>
      </c>
      <c r="C61" s="310" t="s">
        <v>10</v>
      </c>
      <c r="D61" s="310" t="s">
        <v>800</v>
      </c>
      <c r="E61" s="310">
        <v>50906</v>
      </c>
      <c r="F61" s="310" t="s">
        <v>759</v>
      </c>
      <c r="G61" s="310">
        <v>15473</v>
      </c>
      <c r="H61" s="310" t="s">
        <v>801</v>
      </c>
      <c r="I61" s="310">
        <v>21964</v>
      </c>
      <c r="J61" s="310" t="s">
        <v>802</v>
      </c>
      <c r="K61" s="310" t="s">
        <v>760</v>
      </c>
      <c r="L61" s="310" t="s">
        <v>761</v>
      </c>
      <c r="M61" s="310" t="s">
        <v>732</v>
      </c>
      <c r="N61" s="310" t="s">
        <v>733</v>
      </c>
      <c r="O61" s="310" t="s">
        <v>734</v>
      </c>
      <c r="P61" s="310"/>
      <c r="Q61" s="310" t="s">
        <v>735</v>
      </c>
      <c r="R61" s="310" t="s">
        <v>772</v>
      </c>
      <c r="S61" s="310" t="s">
        <v>773</v>
      </c>
      <c r="T61" s="310">
        <v>35.084077999999998</v>
      </c>
      <c r="U61" s="310">
        <v>-106.625191</v>
      </c>
      <c r="V61" s="310"/>
      <c r="W61" s="311">
        <v>3</v>
      </c>
      <c r="X61" s="311">
        <v>3</v>
      </c>
      <c r="Y61" s="310" t="s">
        <v>58</v>
      </c>
      <c r="Z61" s="310" t="s">
        <v>756</v>
      </c>
      <c r="AA61" s="310"/>
      <c r="AB61" s="312">
        <v>0.58382999999999996</v>
      </c>
      <c r="AC61" s="313">
        <v>14.8</v>
      </c>
      <c r="AD61" s="312">
        <v>0.360275515241269</v>
      </c>
      <c r="AE61" s="310"/>
      <c r="AF61" s="310" t="s">
        <v>738</v>
      </c>
      <c r="AG61" s="311">
        <v>455525.6</v>
      </c>
      <c r="AH61" s="311">
        <v>0.56699999999999995</v>
      </c>
      <c r="AI61" s="312">
        <v>0.43057800000000002</v>
      </c>
      <c r="AJ61" s="310"/>
      <c r="AK61" s="314">
        <v>392336.83100000001</v>
      </c>
      <c r="AL61" s="314">
        <v>181461.15599999999</v>
      </c>
      <c r="AM61" s="314">
        <v>392336.83100000001</v>
      </c>
      <c r="AN61" s="314">
        <v>181461.15599999999</v>
      </c>
      <c r="AO61" s="314">
        <v>75693</v>
      </c>
      <c r="AP61" s="314">
        <v>35009.087</v>
      </c>
      <c r="AQ61" s="314">
        <v>27270.334999999999</v>
      </c>
      <c r="AR61" s="314">
        <v>62.774000000000001</v>
      </c>
      <c r="AS61" s="314">
        <v>29.033999999999999</v>
      </c>
      <c r="AT61" s="314">
        <v>0.627</v>
      </c>
      <c r="AU61" s="314">
        <v>22929.940999999999</v>
      </c>
      <c r="AV61" s="314">
        <v>864.95500000000004</v>
      </c>
      <c r="AW61" s="314">
        <v>86.313999999999993</v>
      </c>
      <c r="AX61" s="314">
        <v>22953.487000000001</v>
      </c>
      <c r="AY61" s="315"/>
      <c r="AZ61" s="315">
        <v>1.659</v>
      </c>
      <c r="BA61" s="315">
        <v>1.659</v>
      </c>
      <c r="BB61" s="315">
        <v>1.7000000000000001E-2</v>
      </c>
      <c r="BC61" s="315">
        <v>605.86699999999996</v>
      </c>
      <c r="BD61" s="315">
        <v>1.0999999999999999E-2</v>
      </c>
      <c r="BE61" s="315">
        <v>1E-3</v>
      </c>
      <c r="BF61" s="315">
        <v>606.48900000000003</v>
      </c>
      <c r="BG61" s="315"/>
      <c r="BH61" s="315">
        <v>0.32</v>
      </c>
      <c r="BI61" s="315">
        <v>0.32</v>
      </c>
      <c r="BJ61" s="315">
        <v>3.0000000000000001E-3</v>
      </c>
      <c r="BK61" s="315">
        <v>116.889</v>
      </c>
      <c r="BL61" s="315">
        <v>2E-3</v>
      </c>
      <c r="BM61" s="315">
        <v>0</v>
      </c>
      <c r="BN61" s="315">
        <v>117.009</v>
      </c>
      <c r="BO61" s="315"/>
      <c r="BP61" s="315">
        <v>1.659</v>
      </c>
      <c r="BQ61" s="315">
        <v>1.659</v>
      </c>
      <c r="BR61" s="315">
        <v>1.7000000000000001E-2</v>
      </c>
      <c r="BS61" s="315">
        <v>605.86699999999996</v>
      </c>
      <c r="BT61" s="315">
        <v>1.0999999999999999E-2</v>
      </c>
      <c r="BU61" s="315">
        <v>1E-3</v>
      </c>
      <c r="BV61" s="315">
        <v>606.48900000000003</v>
      </c>
      <c r="BW61" s="311"/>
      <c r="BX61" s="311">
        <v>145.79</v>
      </c>
      <c r="BY61" s="311">
        <v>67.430000000000007</v>
      </c>
      <c r="BZ61" s="311">
        <v>1.456</v>
      </c>
      <c r="CA61" s="311">
        <v>53253.837</v>
      </c>
      <c r="CB61" s="311">
        <v>2008.8230000000001</v>
      </c>
      <c r="CC61" s="311">
        <v>200.46100000000001</v>
      </c>
      <c r="CD61" s="311">
        <v>53308.521999999997</v>
      </c>
      <c r="CE61" s="311"/>
      <c r="CF61" s="311">
        <v>911186</v>
      </c>
      <c r="CG61" s="311">
        <v>421436</v>
      </c>
      <c r="CH61" s="310">
        <v>911186</v>
      </c>
      <c r="CI61" s="310">
        <v>421436</v>
      </c>
      <c r="CJ61" s="310" t="s">
        <v>742</v>
      </c>
      <c r="CK61" s="310" t="s">
        <v>742</v>
      </c>
      <c r="CL61" s="310" t="s">
        <v>742</v>
      </c>
      <c r="CM61" s="310" t="s">
        <v>742</v>
      </c>
      <c r="CN61" s="310" t="s">
        <v>742</v>
      </c>
      <c r="CO61" s="310" t="s">
        <v>742</v>
      </c>
      <c r="CP61" s="310" t="s">
        <v>743</v>
      </c>
      <c r="CQ61" s="311" t="s">
        <v>744</v>
      </c>
      <c r="CR61" s="311" t="s">
        <v>742</v>
      </c>
      <c r="CS61" s="311" t="s">
        <v>742</v>
      </c>
      <c r="CT61" s="311"/>
      <c r="CU61" s="311"/>
      <c r="CV61" s="311"/>
      <c r="CW61" s="311"/>
      <c r="CX61" s="311"/>
      <c r="CY61" s="311"/>
      <c r="CZ61" s="311"/>
      <c r="DA61" s="311">
        <v>518849.16899765597</v>
      </c>
      <c r="DB61" s="311">
        <v>239974.84419832699</v>
      </c>
      <c r="DC61" s="311">
        <v>83.016000000000005</v>
      </c>
      <c r="DD61" s="311">
        <v>38.396000000000001</v>
      </c>
      <c r="DE61" s="316">
        <v>0.82899999999999996</v>
      </c>
      <c r="DF61" s="314">
        <v>30323.896000000001</v>
      </c>
      <c r="DG61" s="314">
        <v>1143.867</v>
      </c>
      <c r="DH61" s="314">
        <v>114.14700000000001</v>
      </c>
      <c r="DI61" s="314">
        <v>30355.034</v>
      </c>
      <c r="DJ61" s="314">
        <v>5183.2643840000001</v>
      </c>
      <c r="DK61" s="314">
        <v>0</v>
      </c>
      <c r="DL61" s="314">
        <v>0</v>
      </c>
      <c r="DM61" s="314">
        <v>75693</v>
      </c>
      <c r="DN61" s="314">
        <v>0</v>
      </c>
      <c r="DO61" s="314">
        <v>0</v>
      </c>
      <c r="DP61" s="314">
        <v>0</v>
      </c>
      <c r="DQ61" s="314">
        <v>0</v>
      </c>
      <c r="DR61" s="314">
        <v>0</v>
      </c>
      <c r="DS61" s="314">
        <v>0</v>
      </c>
      <c r="DT61" s="314">
        <v>0</v>
      </c>
      <c r="DU61" s="314">
        <v>0</v>
      </c>
      <c r="DV61" s="314">
        <v>75693</v>
      </c>
      <c r="DW61" s="314">
        <v>0</v>
      </c>
      <c r="DX61" s="314">
        <v>0</v>
      </c>
      <c r="DY61" s="314">
        <v>0</v>
      </c>
      <c r="DZ61" s="314">
        <v>75693</v>
      </c>
      <c r="EA61" s="314">
        <v>0</v>
      </c>
      <c r="EB61" s="314">
        <v>0</v>
      </c>
      <c r="EC61" s="317">
        <v>0</v>
      </c>
      <c r="ED61" s="317">
        <v>0</v>
      </c>
      <c r="EE61" s="317">
        <v>1</v>
      </c>
      <c r="EF61" s="317">
        <v>0</v>
      </c>
      <c r="EG61" s="317">
        <v>0</v>
      </c>
      <c r="EH61" s="317">
        <v>0</v>
      </c>
      <c r="EI61" s="317">
        <v>0</v>
      </c>
      <c r="EJ61" s="317">
        <v>0</v>
      </c>
      <c r="EK61" s="317">
        <v>0</v>
      </c>
      <c r="EL61" s="317">
        <v>0</v>
      </c>
      <c r="EM61" s="317">
        <v>0</v>
      </c>
      <c r="EN61" s="317">
        <v>1</v>
      </c>
      <c r="EO61" s="317">
        <v>0</v>
      </c>
      <c r="EP61" s="317">
        <v>0</v>
      </c>
      <c r="EQ61" s="317">
        <v>0</v>
      </c>
      <c r="ER61" s="317">
        <v>1</v>
      </c>
      <c r="ES61" s="317">
        <v>0</v>
      </c>
      <c r="ET61" s="317">
        <v>0</v>
      </c>
    </row>
    <row r="62" spans="1:150" x14ac:dyDescent="0.25">
      <c r="A62" s="310">
        <v>8454</v>
      </c>
      <c r="B62" s="310">
        <v>2023</v>
      </c>
      <c r="C62" s="310" t="s">
        <v>10</v>
      </c>
      <c r="D62" s="310" t="s">
        <v>803</v>
      </c>
      <c r="E62" s="310">
        <v>54975</v>
      </c>
      <c r="F62" s="310" t="s">
        <v>758</v>
      </c>
      <c r="G62" s="310">
        <v>5701</v>
      </c>
      <c r="H62" s="310" t="s">
        <v>803</v>
      </c>
      <c r="I62" s="310">
        <v>21965</v>
      </c>
      <c r="J62" s="310" t="s">
        <v>802</v>
      </c>
      <c r="K62" s="310" t="s">
        <v>769</v>
      </c>
      <c r="L62" s="310" t="s">
        <v>770</v>
      </c>
      <c r="M62" s="310" t="s">
        <v>732</v>
      </c>
      <c r="N62" s="310" t="s">
        <v>733</v>
      </c>
      <c r="O62" s="310" t="s">
        <v>734</v>
      </c>
      <c r="P62" s="310"/>
      <c r="Q62" s="310" t="s">
        <v>735</v>
      </c>
      <c r="R62" s="310" t="s">
        <v>766</v>
      </c>
      <c r="S62" s="310" t="s">
        <v>767</v>
      </c>
      <c r="T62" s="310">
        <v>32.380032</v>
      </c>
      <c r="U62" s="310">
        <v>-106.753716</v>
      </c>
      <c r="V62" s="310"/>
      <c r="W62" s="311">
        <v>1</v>
      </c>
      <c r="X62" s="311">
        <v>1</v>
      </c>
      <c r="Y62" s="310" t="s">
        <v>58</v>
      </c>
      <c r="Z62" s="310" t="s">
        <v>756</v>
      </c>
      <c r="AA62" s="310"/>
      <c r="AB62" s="312">
        <v>0.71991000000000005</v>
      </c>
      <c r="AC62" s="313">
        <v>4.7</v>
      </c>
      <c r="AD62" s="312">
        <v>0.13348877878169599</v>
      </c>
      <c r="AE62" s="310"/>
      <c r="AF62" s="310" t="s">
        <v>738</v>
      </c>
      <c r="AG62" s="311">
        <v>171894.39999999999</v>
      </c>
      <c r="AH62" s="311">
        <v>0.58899999999999997</v>
      </c>
      <c r="AI62" s="312">
        <v>0.43967499999999998</v>
      </c>
      <c r="AJ62" s="310"/>
      <c r="AK62" s="314">
        <v>179981.77600000001</v>
      </c>
      <c r="AL62" s="314">
        <v>74374.517000000007</v>
      </c>
      <c r="AM62" s="314">
        <v>179981.77600000001</v>
      </c>
      <c r="AN62" s="314">
        <v>74374.517000000007</v>
      </c>
      <c r="AO62" s="314">
        <v>29640</v>
      </c>
      <c r="AP62" s="314">
        <v>13021</v>
      </c>
      <c r="AQ62" s="314">
        <v>3956.607</v>
      </c>
      <c r="AR62" s="314">
        <v>28.797000000000001</v>
      </c>
      <c r="AS62" s="314">
        <v>11.9</v>
      </c>
      <c r="AT62" s="314">
        <v>0.28799999999999998</v>
      </c>
      <c r="AU62" s="314">
        <v>10518.95</v>
      </c>
      <c r="AV62" s="314">
        <v>396.79199999999997</v>
      </c>
      <c r="AW62" s="314">
        <v>39.595999999999997</v>
      </c>
      <c r="AX62" s="314">
        <v>10529.752</v>
      </c>
      <c r="AY62" s="315"/>
      <c r="AZ62" s="315">
        <v>1.9430000000000001</v>
      </c>
      <c r="BA62" s="315">
        <v>1.8280000000000001</v>
      </c>
      <c r="BB62" s="315">
        <v>1.9E-2</v>
      </c>
      <c r="BC62" s="315">
        <v>709.78099999999995</v>
      </c>
      <c r="BD62" s="315">
        <v>1.2999999999999999E-2</v>
      </c>
      <c r="BE62" s="315">
        <v>1E-3</v>
      </c>
      <c r="BF62" s="315">
        <v>710.51</v>
      </c>
      <c r="BG62" s="315"/>
      <c r="BH62" s="315">
        <v>0.32</v>
      </c>
      <c r="BI62" s="315">
        <v>0.32</v>
      </c>
      <c r="BJ62" s="315">
        <v>3.0000000000000001E-3</v>
      </c>
      <c r="BK62" s="315">
        <v>116.889</v>
      </c>
      <c r="BL62" s="315">
        <v>2E-3</v>
      </c>
      <c r="BM62" s="315">
        <v>0</v>
      </c>
      <c r="BN62" s="315">
        <v>117.009</v>
      </c>
      <c r="BO62" s="315"/>
      <c r="BP62" s="315">
        <v>1.9430000000000001</v>
      </c>
      <c r="BQ62" s="315">
        <v>1.8280000000000001</v>
      </c>
      <c r="BR62" s="315">
        <v>1.9E-2</v>
      </c>
      <c r="BS62" s="315">
        <v>709.78099999999995</v>
      </c>
      <c r="BT62" s="315">
        <v>1.2999999999999999E-2</v>
      </c>
      <c r="BU62" s="315">
        <v>1E-3</v>
      </c>
      <c r="BV62" s="315">
        <v>710.51</v>
      </c>
      <c r="BW62" s="311"/>
      <c r="BX62" s="311">
        <v>65.495999999999995</v>
      </c>
      <c r="BY62" s="311">
        <v>27.065000000000001</v>
      </c>
      <c r="BZ62" s="311">
        <v>0.65400000000000003</v>
      </c>
      <c r="CA62" s="311">
        <v>23924.384999999998</v>
      </c>
      <c r="CB62" s="311">
        <v>902.46699999999998</v>
      </c>
      <c r="CC62" s="311">
        <v>90.057000000000002</v>
      </c>
      <c r="CD62" s="311">
        <v>23948.952000000001</v>
      </c>
      <c r="CE62" s="311"/>
      <c r="CF62" s="311">
        <v>409352</v>
      </c>
      <c r="CG62" s="311">
        <v>169158</v>
      </c>
      <c r="CH62" s="310">
        <v>409352</v>
      </c>
      <c r="CI62" s="310">
        <v>169158</v>
      </c>
      <c r="CJ62" s="310" t="s">
        <v>742</v>
      </c>
      <c r="CK62" s="310" t="s">
        <v>742</v>
      </c>
      <c r="CL62" s="310" t="s">
        <v>742</v>
      </c>
      <c r="CM62" s="310" t="s">
        <v>742</v>
      </c>
      <c r="CN62" s="310" t="s">
        <v>742</v>
      </c>
      <c r="CO62" s="310" t="s">
        <v>742</v>
      </c>
      <c r="CP62" s="310" t="s">
        <v>743</v>
      </c>
      <c r="CQ62" s="311" t="s">
        <v>744</v>
      </c>
      <c r="CR62" s="311" t="s">
        <v>742</v>
      </c>
      <c r="CS62" s="311" t="s">
        <v>742</v>
      </c>
      <c r="CT62" s="311"/>
      <c r="CU62" s="311"/>
      <c r="CV62" s="311"/>
      <c r="CW62" s="311"/>
      <c r="CX62" s="311"/>
      <c r="CY62" s="311"/>
      <c r="CZ62" s="311"/>
      <c r="DA62" s="311">
        <v>229370.22364710501</v>
      </c>
      <c r="DB62" s="311">
        <v>94783.482899062306</v>
      </c>
      <c r="DC62" s="311">
        <v>36.698999999999998</v>
      </c>
      <c r="DD62" s="311">
        <v>15.164999999999999</v>
      </c>
      <c r="DE62" s="316">
        <v>0.36699999999999999</v>
      </c>
      <c r="DF62" s="314">
        <v>13405.434999999999</v>
      </c>
      <c r="DG62" s="314">
        <v>505.67500000000001</v>
      </c>
      <c r="DH62" s="314">
        <v>50.460999999999999</v>
      </c>
      <c r="DI62" s="314">
        <v>13419.2</v>
      </c>
      <c r="DJ62" s="314">
        <v>6072.2596610000001</v>
      </c>
      <c r="DK62" s="314">
        <v>0</v>
      </c>
      <c r="DL62" s="314">
        <v>0</v>
      </c>
      <c r="DM62" s="314">
        <v>29640</v>
      </c>
      <c r="DN62" s="314">
        <v>0</v>
      </c>
      <c r="DO62" s="314">
        <v>0</v>
      </c>
      <c r="DP62" s="314">
        <v>0</v>
      </c>
      <c r="DQ62" s="314">
        <v>0</v>
      </c>
      <c r="DR62" s="314">
        <v>0</v>
      </c>
      <c r="DS62" s="314">
        <v>0</v>
      </c>
      <c r="DT62" s="314">
        <v>0</v>
      </c>
      <c r="DU62" s="314">
        <v>0</v>
      </c>
      <c r="DV62" s="314">
        <v>29640</v>
      </c>
      <c r="DW62" s="314">
        <v>0</v>
      </c>
      <c r="DX62" s="314">
        <v>0</v>
      </c>
      <c r="DY62" s="314">
        <v>0</v>
      </c>
      <c r="DZ62" s="314">
        <v>29640</v>
      </c>
      <c r="EA62" s="314">
        <v>0</v>
      </c>
      <c r="EB62" s="314">
        <v>0</v>
      </c>
      <c r="EC62" s="317">
        <v>0</v>
      </c>
      <c r="ED62" s="317">
        <v>0</v>
      </c>
      <c r="EE62" s="317">
        <v>1</v>
      </c>
      <c r="EF62" s="317">
        <v>0</v>
      </c>
      <c r="EG62" s="317">
        <v>0</v>
      </c>
      <c r="EH62" s="317">
        <v>0</v>
      </c>
      <c r="EI62" s="317">
        <v>0</v>
      </c>
      <c r="EJ62" s="317">
        <v>0</v>
      </c>
      <c r="EK62" s="317">
        <v>0</v>
      </c>
      <c r="EL62" s="317">
        <v>0</v>
      </c>
      <c r="EM62" s="317">
        <v>0</v>
      </c>
      <c r="EN62" s="317">
        <v>1</v>
      </c>
      <c r="EO62" s="317">
        <v>0</v>
      </c>
      <c r="EP62" s="317">
        <v>0</v>
      </c>
      <c r="EQ62" s="317">
        <v>0</v>
      </c>
      <c r="ER62" s="317">
        <v>1</v>
      </c>
      <c r="ES62" s="317">
        <v>0</v>
      </c>
      <c r="ET62" s="317">
        <v>0</v>
      </c>
    </row>
    <row r="63" spans="1:150" x14ac:dyDescent="0.25">
      <c r="A63" s="310">
        <v>8492</v>
      </c>
      <c r="B63" s="310">
        <v>2023</v>
      </c>
      <c r="C63" s="310" t="s">
        <v>10</v>
      </c>
      <c r="D63" s="310" t="s">
        <v>804</v>
      </c>
      <c r="E63" s="310">
        <v>10339</v>
      </c>
      <c r="F63" s="310" t="s">
        <v>759</v>
      </c>
      <c r="G63" s="310">
        <v>15473</v>
      </c>
      <c r="H63" s="310" t="s">
        <v>805</v>
      </c>
      <c r="I63" s="310">
        <v>194</v>
      </c>
      <c r="J63" s="310" t="s">
        <v>806</v>
      </c>
      <c r="K63" s="310" t="s">
        <v>760</v>
      </c>
      <c r="L63" s="310" t="s">
        <v>761</v>
      </c>
      <c r="M63" s="310" t="s">
        <v>732</v>
      </c>
      <c r="N63" s="310" t="s">
        <v>733</v>
      </c>
      <c r="O63" s="310" t="s">
        <v>734</v>
      </c>
      <c r="P63" s="310"/>
      <c r="Q63" s="310" t="s">
        <v>735</v>
      </c>
      <c r="R63" s="310" t="s">
        <v>772</v>
      </c>
      <c r="S63" s="310" t="s">
        <v>773</v>
      </c>
      <c r="T63" s="310">
        <v>35.016111000000002</v>
      </c>
      <c r="U63" s="310">
        <v>-106.66972199999999</v>
      </c>
      <c r="V63" s="310"/>
      <c r="W63" s="311">
        <v>4</v>
      </c>
      <c r="X63" s="311">
        <v>4</v>
      </c>
      <c r="Y63" s="310" t="s">
        <v>807</v>
      </c>
      <c r="Z63" s="310" t="s">
        <v>808</v>
      </c>
      <c r="AA63" s="310"/>
      <c r="AB63" s="312">
        <v>0.34655000000000002</v>
      </c>
      <c r="AC63" s="313">
        <v>6.6</v>
      </c>
      <c r="AD63" s="312">
        <v>0.75575100318250998</v>
      </c>
      <c r="AE63" s="310" t="s">
        <v>738</v>
      </c>
      <c r="AF63" s="310" t="s">
        <v>738</v>
      </c>
      <c r="AG63" s="311">
        <v>0</v>
      </c>
      <c r="AH63" s="311"/>
      <c r="AI63" s="312">
        <v>1</v>
      </c>
      <c r="AJ63" s="310"/>
      <c r="AK63" s="314">
        <v>213618</v>
      </c>
      <c r="AL63" s="314">
        <v>88665</v>
      </c>
      <c r="AM63" s="314">
        <v>213618</v>
      </c>
      <c r="AN63" s="314">
        <v>88665</v>
      </c>
      <c r="AO63" s="314">
        <v>20036.099999999999</v>
      </c>
      <c r="AP63" s="314">
        <v>7984.06</v>
      </c>
      <c r="AQ63" s="314">
        <v>15142.303</v>
      </c>
      <c r="AR63" s="314">
        <v>439.10899999999998</v>
      </c>
      <c r="AS63" s="314">
        <v>174.63800000000001</v>
      </c>
      <c r="AT63" s="314">
        <v>0.51800000000000002</v>
      </c>
      <c r="AU63" s="314">
        <v>4257.5889999999999</v>
      </c>
      <c r="AV63" s="314">
        <v>487.70600000000002</v>
      </c>
      <c r="AW63" s="314">
        <v>48.790999999999997</v>
      </c>
      <c r="AX63" s="314">
        <v>4270.8819999999996</v>
      </c>
      <c r="AY63" s="315"/>
      <c r="AZ63" s="315">
        <v>43.832000000000001</v>
      </c>
      <c r="BA63" s="315">
        <v>43.747</v>
      </c>
      <c r="BB63" s="315">
        <v>5.1999999999999998E-2</v>
      </c>
      <c r="BC63" s="315">
        <v>424.99200000000002</v>
      </c>
      <c r="BD63" s="315">
        <v>2.4E-2</v>
      </c>
      <c r="BE63" s="315">
        <v>2E-3</v>
      </c>
      <c r="BF63" s="315">
        <v>426.31900000000002</v>
      </c>
      <c r="BG63" s="315"/>
      <c r="BH63" s="315">
        <v>4.1109999999999998</v>
      </c>
      <c r="BI63" s="315">
        <v>3.9390000000000001</v>
      </c>
      <c r="BJ63" s="315">
        <v>5.0000000000000001E-3</v>
      </c>
      <c r="BK63" s="315">
        <v>39.862000000000002</v>
      </c>
      <c r="BL63" s="315">
        <v>2E-3</v>
      </c>
      <c r="BM63" s="315">
        <v>0</v>
      </c>
      <c r="BN63" s="315">
        <v>39.985999999999997</v>
      </c>
      <c r="BO63" s="315"/>
      <c r="BP63" s="315">
        <v>43.832000000000001</v>
      </c>
      <c r="BQ63" s="315">
        <v>43.747</v>
      </c>
      <c r="BR63" s="315">
        <v>5.1999999999999998E-2</v>
      </c>
      <c r="BS63" s="315">
        <v>424.99200000000002</v>
      </c>
      <c r="BT63" s="315">
        <v>2.4E-2</v>
      </c>
      <c r="BU63" s="315">
        <v>2E-3</v>
      </c>
      <c r="BV63" s="315">
        <v>426.31900000000002</v>
      </c>
      <c r="BW63" s="311"/>
      <c r="BX63" s="311">
        <v>439.10899999999998</v>
      </c>
      <c r="BY63" s="311">
        <v>174.63800000000001</v>
      </c>
      <c r="BZ63" s="311">
        <v>0.51800000000000002</v>
      </c>
      <c r="CA63" s="311">
        <v>13024.751</v>
      </c>
      <c r="CB63" s="311">
        <v>487.70600000000002</v>
      </c>
      <c r="CC63" s="311">
        <v>48.790999999999997</v>
      </c>
      <c r="CD63" s="311">
        <v>13038.044</v>
      </c>
      <c r="CE63" s="311"/>
      <c r="CF63" s="311">
        <v>213618</v>
      </c>
      <c r="CG63" s="311">
        <v>88665</v>
      </c>
      <c r="CH63" s="310">
        <v>213618</v>
      </c>
      <c r="CI63" s="310">
        <v>88665</v>
      </c>
      <c r="CJ63" s="310" t="s">
        <v>742</v>
      </c>
      <c r="CK63" s="310" t="s">
        <v>742</v>
      </c>
      <c r="CL63" s="310" t="s">
        <v>742</v>
      </c>
      <c r="CM63" s="310" t="s">
        <v>742</v>
      </c>
      <c r="CN63" s="310" t="s">
        <v>742</v>
      </c>
      <c r="CO63" s="310" t="s">
        <v>742</v>
      </c>
      <c r="CP63" s="310" t="s">
        <v>743</v>
      </c>
      <c r="CQ63" s="311" t="s">
        <v>744</v>
      </c>
      <c r="CR63" s="311" t="s">
        <v>742</v>
      </c>
      <c r="CS63" s="311" t="s">
        <v>742</v>
      </c>
      <c r="CT63" s="311"/>
      <c r="CU63" s="311"/>
      <c r="CV63" s="311"/>
      <c r="CW63" s="311">
        <v>8767.1620000000003</v>
      </c>
      <c r="CX63" s="311"/>
      <c r="CY63" s="311"/>
      <c r="CZ63" s="311">
        <v>8767.1620000000003</v>
      </c>
      <c r="DA63" s="311">
        <v>0</v>
      </c>
      <c r="DB63" s="311">
        <v>0</v>
      </c>
      <c r="DC63" s="311">
        <v>0</v>
      </c>
      <c r="DD63" s="311">
        <v>0</v>
      </c>
      <c r="DE63" s="316">
        <v>0</v>
      </c>
      <c r="DF63" s="314">
        <v>0</v>
      </c>
      <c r="DG63" s="314">
        <v>0</v>
      </c>
      <c r="DH63" s="314">
        <v>0</v>
      </c>
      <c r="DI63" s="314">
        <v>0</v>
      </c>
      <c r="DJ63" s="314">
        <v>10661.655710999999</v>
      </c>
      <c r="DK63" s="314">
        <v>0</v>
      </c>
      <c r="DL63" s="314">
        <v>0</v>
      </c>
      <c r="DM63" s="314">
        <v>6955.1509999999998</v>
      </c>
      <c r="DN63" s="314">
        <v>0</v>
      </c>
      <c r="DO63" s="314">
        <v>0</v>
      </c>
      <c r="DP63" s="314">
        <v>13080.949000000001</v>
      </c>
      <c r="DQ63" s="314">
        <v>0</v>
      </c>
      <c r="DR63" s="314">
        <v>0</v>
      </c>
      <c r="DS63" s="314">
        <v>0</v>
      </c>
      <c r="DT63" s="314">
        <v>0</v>
      </c>
      <c r="DU63" s="314">
        <v>0</v>
      </c>
      <c r="DV63" s="314">
        <v>6955.1509999999998</v>
      </c>
      <c r="DW63" s="314">
        <v>13080.949000000001</v>
      </c>
      <c r="DX63" s="314">
        <v>0</v>
      </c>
      <c r="DY63" s="314">
        <v>13080.949000000001</v>
      </c>
      <c r="DZ63" s="314">
        <v>20036.099999999999</v>
      </c>
      <c r="EA63" s="314">
        <v>0</v>
      </c>
      <c r="EB63" s="314">
        <v>0</v>
      </c>
      <c r="EC63" s="317">
        <v>0</v>
      </c>
      <c r="ED63" s="317">
        <v>0</v>
      </c>
      <c r="EE63" s="317">
        <v>0.34713097858365599</v>
      </c>
      <c r="EF63" s="317">
        <v>0</v>
      </c>
      <c r="EG63" s="317">
        <v>0</v>
      </c>
      <c r="EH63" s="317">
        <v>0.65286902141634395</v>
      </c>
      <c r="EI63" s="317">
        <v>0</v>
      </c>
      <c r="EJ63" s="317">
        <v>0</v>
      </c>
      <c r="EK63" s="317">
        <v>0</v>
      </c>
      <c r="EL63" s="317">
        <v>0</v>
      </c>
      <c r="EM63" s="317">
        <v>0</v>
      </c>
      <c r="EN63" s="317">
        <v>0.34713097858365599</v>
      </c>
      <c r="EO63" s="317">
        <v>0.65286902141634395</v>
      </c>
      <c r="EP63" s="317">
        <v>0</v>
      </c>
      <c r="EQ63" s="317">
        <v>0.65286902141634395</v>
      </c>
      <c r="ER63" s="317">
        <v>1</v>
      </c>
      <c r="ES63" s="317">
        <v>0</v>
      </c>
      <c r="ET63" s="317">
        <v>0</v>
      </c>
    </row>
    <row r="64" spans="1:150" x14ac:dyDescent="0.25">
      <c r="A64" s="310">
        <v>8422</v>
      </c>
      <c r="B64" s="310">
        <v>2023</v>
      </c>
      <c r="C64" s="310" t="s">
        <v>10</v>
      </c>
      <c r="D64" s="310" t="s">
        <v>809</v>
      </c>
      <c r="E64" s="310">
        <v>54734</v>
      </c>
      <c r="F64" s="310" t="s">
        <v>759</v>
      </c>
      <c r="G64" s="310">
        <v>15473</v>
      </c>
      <c r="H64" s="310" t="s">
        <v>810</v>
      </c>
      <c r="I64" s="310">
        <v>14989</v>
      </c>
      <c r="J64" s="310" t="s">
        <v>57</v>
      </c>
      <c r="K64" s="310" t="s">
        <v>760</v>
      </c>
      <c r="L64" s="310" t="s">
        <v>761</v>
      </c>
      <c r="M64" s="310" t="s">
        <v>732</v>
      </c>
      <c r="N64" s="310" t="s">
        <v>733</v>
      </c>
      <c r="O64" s="310" t="s">
        <v>734</v>
      </c>
      <c r="P64" s="310"/>
      <c r="Q64" s="310" t="s">
        <v>735</v>
      </c>
      <c r="R64" s="310" t="s">
        <v>794</v>
      </c>
      <c r="S64" s="310" t="s">
        <v>795</v>
      </c>
      <c r="T64" s="310">
        <v>32.661760000000001</v>
      </c>
      <c r="U64" s="310">
        <v>-108.36279999999999</v>
      </c>
      <c r="V64" s="310"/>
      <c r="W64" s="311">
        <v>10</v>
      </c>
      <c r="X64" s="311">
        <v>10</v>
      </c>
      <c r="Y64" s="310" t="s">
        <v>791</v>
      </c>
      <c r="Z64" s="310" t="s">
        <v>792</v>
      </c>
      <c r="AA64" s="310"/>
      <c r="AB64" s="312">
        <v>0</v>
      </c>
      <c r="AC64" s="313">
        <v>30.4</v>
      </c>
      <c r="AD64" s="312"/>
      <c r="AE64" s="310"/>
      <c r="AF64" s="310"/>
      <c r="AG64" s="311"/>
      <c r="AH64" s="311"/>
      <c r="AI64" s="312"/>
      <c r="AJ64" s="310"/>
      <c r="AK64" s="314">
        <v>0</v>
      </c>
      <c r="AL64" s="314">
        <v>0</v>
      </c>
      <c r="AM64" s="314"/>
      <c r="AN64" s="314"/>
      <c r="AO64" s="314">
        <v>0</v>
      </c>
      <c r="AP64" s="314">
        <v>0</v>
      </c>
      <c r="AQ64" s="314"/>
      <c r="AR64" s="314"/>
      <c r="AS64" s="314"/>
      <c r="AT64" s="314"/>
      <c r="AU64" s="314"/>
      <c r="AV64" s="314">
        <v>0</v>
      </c>
      <c r="AW64" s="314">
        <v>0</v>
      </c>
      <c r="AX64" s="314">
        <v>0</v>
      </c>
      <c r="AY64" s="315"/>
      <c r="AZ64" s="315"/>
      <c r="BA64" s="315"/>
      <c r="BB64" s="315"/>
      <c r="BC64" s="315"/>
      <c r="BD64" s="315"/>
      <c r="BE64" s="315"/>
      <c r="BF64" s="315"/>
      <c r="BG64" s="315"/>
      <c r="BH64" s="315"/>
      <c r="BI64" s="315"/>
      <c r="BJ64" s="315"/>
      <c r="BK64" s="315"/>
      <c r="BL64" s="315"/>
      <c r="BM64" s="315"/>
      <c r="BN64" s="315"/>
      <c r="BO64" s="315"/>
      <c r="BP64" s="315"/>
      <c r="BQ64" s="315"/>
      <c r="BR64" s="315"/>
      <c r="BS64" s="315"/>
      <c r="BT64" s="315"/>
      <c r="BU64" s="315"/>
      <c r="BV64" s="315"/>
      <c r="BW64" s="311"/>
      <c r="BX64" s="311"/>
      <c r="BY64" s="311"/>
      <c r="BZ64" s="311"/>
      <c r="CA64" s="311"/>
      <c r="CB64" s="311">
        <v>0</v>
      </c>
      <c r="CC64" s="311">
        <v>0</v>
      </c>
      <c r="CD64" s="311">
        <v>0</v>
      </c>
      <c r="CE64" s="311"/>
      <c r="CF64" s="311">
        <v>0</v>
      </c>
      <c r="CG64" s="311">
        <v>0</v>
      </c>
      <c r="CH64" s="310"/>
      <c r="CI64" s="310"/>
      <c r="CJ64" s="310"/>
      <c r="CK64" s="310"/>
      <c r="CL64" s="310"/>
      <c r="CM64" s="310"/>
      <c r="CN64" s="310" t="s">
        <v>742</v>
      </c>
      <c r="CO64" s="310" t="s">
        <v>742</v>
      </c>
      <c r="CP64" s="310" t="s">
        <v>743</v>
      </c>
      <c r="CQ64" s="311" t="s">
        <v>744</v>
      </c>
      <c r="CR64" s="311"/>
      <c r="CS64" s="311"/>
      <c r="CT64" s="311"/>
      <c r="CU64" s="311"/>
      <c r="CV64" s="311"/>
      <c r="CW64" s="311"/>
      <c r="CX64" s="311"/>
      <c r="CY64" s="311"/>
      <c r="CZ64" s="311"/>
      <c r="DA64" s="311"/>
      <c r="DB64" s="311"/>
      <c r="DC64" s="311"/>
      <c r="DD64" s="311"/>
      <c r="DE64" s="316"/>
      <c r="DF64" s="314"/>
      <c r="DG64" s="314"/>
      <c r="DH64" s="314"/>
      <c r="DI64" s="314"/>
      <c r="DJ64" s="314"/>
      <c r="DK64" s="314">
        <v>0</v>
      </c>
      <c r="DL64" s="314">
        <v>0</v>
      </c>
      <c r="DM64" s="314">
        <v>0</v>
      </c>
      <c r="DN64" s="314">
        <v>0</v>
      </c>
      <c r="DO64" s="314">
        <v>0</v>
      </c>
      <c r="DP64" s="314">
        <v>0</v>
      </c>
      <c r="DQ64" s="314">
        <v>0</v>
      </c>
      <c r="DR64" s="314">
        <v>0</v>
      </c>
      <c r="DS64" s="314">
        <v>0</v>
      </c>
      <c r="DT64" s="314">
        <v>0</v>
      </c>
      <c r="DU64" s="314">
        <v>0</v>
      </c>
      <c r="DV64" s="314">
        <v>0</v>
      </c>
      <c r="DW64" s="314">
        <v>0</v>
      </c>
      <c r="DX64" s="314">
        <v>0</v>
      </c>
      <c r="DY64" s="314">
        <v>0</v>
      </c>
      <c r="DZ64" s="314">
        <v>0</v>
      </c>
      <c r="EA64" s="314">
        <v>0</v>
      </c>
      <c r="EB64" s="314">
        <v>0</v>
      </c>
      <c r="EC64" s="317"/>
      <c r="ED64" s="317"/>
      <c r="EE64" s="317"/>
      <c r="EF64" s="317"/>
      <c r="EG64" s="317"/>
      <c r="EH64" s="317"/>
      <c r="EI64" s="317"/>
      <c r="EJ64" s="317"/>
      <c r="EK64" s="317"/>
      <c r="EL64" s="317"/>
      <c r="EM64" s="317"/>
      <c r="EN64" s="317"/>
      <c r="EO64" s="317"/>
      <c r="EP64" s="317"/>
      <c r="EQ64" s="317"/>
      <c r="ER64" s="317"/>
      <c r="ES64" s="317"/>
      <c r="ET64" s="317"/>
    </row>
    <row r="65" spans="1:150" x14ac:dyDescent="0.25">
      <c r="A65" s="310">
        <v>8438</v>
      </c>
      <c r="B65" s="310">
        <v>2023</v>
      </c>
      <c r="C65" s="310" t="s">
        <v>10</v>
      </c>
      <c r="D65" s="310" t="s">
        <v>811</v>
      </c>
      <c r="E65" s="310">
        <v>58629</v>
      </c>
      <c r="F65" s="310" t="s">
        <v>812</v>
      </c>
      <c r="G65" s="310">
        <v>4071</v>
      </c>
      <c r="H65" s="310" t="s">
        <v>811</v>
      </c>
      <c r="I65" s="310">
        <v>58581</v>
      </c>
      <c r="J65" s="310" t="s">
        <v>748</v>
      </c>
      <c r="K65" s="310" t="s">
        <v>760</v>
      </c>
      <c r="L65" s="310" t="s">
        <v>761</v>
      </c>
      <c r="M65" s="310" t="s">
        <v>732</v>
      </c>
      <c r="N65" s="310" t="s">
        <v>733</v>
      </c>
      <c r="O65" s="310" t="s">
        <v>734</v>
      </c>
      <c r="P65" s="310"/>
      <c r="Q65" s="310" t="s">
        <v>735</v>
      </c>
      <c r="R65" s="310" t="s">
        <v>782</v>
      </c>
      <c r="S65" s="310" t="s">
        <v>783</v>
      </c>
      <c r="T65" s="310">
        <v>32.144722000000002</v>
      </c>
      <c r="U65" s="310">
        <v>-108.83833300000001</v>
      </c>
      <c r="V65" s="310"/>
      <c r="W65" s="311">
        <v>5</v>
      </c>
      <c r="X65" s="311">
        <v>5</v>
      </c>
      <c r="Y65" s="310" t="s">
        <v>813</v>
      </c>
      <c r="Z65" s="310" t="s">
        <v>814</v>
      </c>
      <c r="AA65" s="310"/>
      <c r="AB65" s="312">
        <v>0.2132</v>
      </c>
      <c r="AC65" s="313">
        <v>19.2</v>
      </c>
      <c r="AD65" s="312"/>
      <c r="AE65" s="310"/>
      <c r="AF65" s="310"/>
      <c r="AG65" s="311"/>
      <c r="AH65" s="311"/>
      <c r="AI65" s="312"/>
      <c r="AJ65" s="310"/>
      <c r="AK65" s="314"/>
      <c r="AL65" s="314"/>
      <c r="AM65" s="314">
        <v>122346.00199999999</v>
      </c>
      <c r="AN65" s="314">
        <v>34094.999000000003</v>
      </c>
      <c r="AO65" s="314">
        <v>35857.999000000003</v>
      </c>
      <c r="AP65" s="314">
        <v>9993.0010000000002</v>
      </c>
      <c r="AQ65" s="314"/>
      <c r="AR65" s="314">
        <v>0</v>
      </c>
      <c r="AS65" s="314">
        <v>0</v>
      </c>
      <c r="AT65" s="314">
        <v>0</v>
      </c>
      <c r="AU65" s="314">
        <v>0</v>
      </c>
      <c r="AV65" s="314"/>
      <c r="AW65" s="314"/>
      <c r="AX65" s="314">
        <v>0</v>
      </c>
      <c r="AY65" s="315"/>
      <c r="AZ65" s="315">
        <v>0</v>
      </c>
      <c r="BA65" s="315">
        <v>0</v>
      </c>
      <c r="BB65" s="315">
        <v>0</v>
      </c>
      <c r="BC65" s="315">
        <v>0</v>
      </c>
      <c r="BD65" s="315"/>
      <c r="BE65" s="315"/>
      <c r="BF65" s="315">
        <v>0</v>
      </c>
      <c r="BG65" s="315"/>
      <c r="BH65" s="315">
        <v>0</v>
      </c>
      <c r="BI65" s="315">
        <v>0</v>
      </c>
      <c r="BJ65" s="315">
        <v>0</v>
      </c>
      <c r="BK65" s="315">
        <v>0</v>
      </c>
      <c r="BL65" s="315"/>
      <c r="BM65" s="315"/>
      <c r="BN65" s="315">
        <v>0</v>
      </c>
      <c r="BO65" s="315"/>
      <c r="BP65" s="315"/>
      <c r="BQ65" s="315"/>
      <c r="BR65" s="315"/>
      <c r="BS65" s="315"/>
      <c r="BT65" s="315"/>
      <c r="BU65" s="315"/>
      <c r="BV65" s="315"/>
      <c r="BW65" s="311"/>
      <c r="BX65" s="311">
        <v>0</v>
      </c>
      <c r="BY65" s="311">
        <v>0</v>
      </c>
      <c r="BZ65" s="311">
        <v>0</v>
      </c>
      <c r="CA65" s="311">
        <v>0</v>
      </c>
      <c r="CB65" s="311"/>
      <c r="CC65" s="311"/>
      <c r="CD65" s="311">
        <v>0</v>
      </c>
      <c r="CE65" s="311"/>
      <c r="CF65" s="311"/>
      <c r="CG65" s="311"/>
      <c r="CH65" s="310">
        <v>122346.00199999999</v>
      </c>
      <c r="CI65" s="310">
        <v>34094.999000000003</v>
      </c>
      <c r="CJ65" s="310" t="s">
        <v>742</v>
      </c>
      <c r="CK65" s="310" t="s">
        <v>742</v>
      </c>
      <c r="CL65" s="310" t="s">
        <v>742</v>
      </c>
      <c r="CM65" s="310" t="s">
        <v>742</v>
      </c>
      <c r="CN65" s="310"/>
      <c r="CO65" s="310"/>
      <c r="CP65" s="310" t="s">
        <v>743</v>
      </c>
      <c r="CQ65" s="311" t="s">
        <v>744</v>
      </c>
      <c r="CR65" s="311" t="s">
        <v>742</v>
      </c>
      <c r="CS65" s="311" t="s">
        <v>742</v>
      </c>
      <c r="CT65" s="311"/>
      <c r="CU65" s="311"/>
      <c r="CV65" s="311"/>
      <c r="CW65" s="311"/>
      <c r="CX65" s="311"/>
      <c r="CY65" s="311"/>
      <c r="CZ65" s="311"/>
      <c r="DA65" s="311"/>
      <c r="DB65" s="311"/>
      <c r="DC65" s="311"/>
      <c r="DD65" s="311"/>
      <c r="DE65" s="316"/>
      <c r="DF65" s="314"/>
      <c r="DG65" s="314"/>
      <c r="DH65" s="314"/>
      <c r="DI65" s="314"/>
      <c r="DJ65" s="314"/>
      <c r="DK65" s="314">
        <v>0</v>
      </c>
      <c r="DL65" s="314">
        <v>0</v>
      </c>
      <c r="DM65" s="314">
        <v>0</v>
      </c>
      <c r="DN65" s="314">
        <v>0</v>
      </c>
      <c r="DO65" s="314">
        <v>0</v>
      </c>
      <c r="DP65" s="314">
        <v>0</v>
      </c>
      <c r="DQ65" s="314">
        <v>0</v>
      </c>
      <c r="DR65" s="314">
        <v>0</v>
      </c>
      <c r="DS65" s="314">
        <v>35858</v>
      </c>
      <c r="DT65" s="314">
        <v>0</v>
      </c>
      <c r="DU65" s="314">
        <v>0</v>
      </c>
      <c r="DV65" s="314">
        <v>0</v>
      </c>
      <c r="DW65" s="314">
        <v>35858</v>
      </c>
      <c r="DX65" s="314">
        <v>0</v>
      </c>
      <c r="DY65" s="314">
        <v>35858</v>
      </c>
      <c r="DZ65" s="314">
        <v>0</v>
      </c>
      <c r="EA65" s="314">
        <v>35858</v>
      </c>
      <c r="EB65" s="314">
        <v>0</v>
      </c>
      <c r="EC65" s="317">
        <v>0</v>
      </c>
      <c r="ED65" s="317">
        <v>0</v>
      </c>
      <c r="EE65" s="317">
        <v>0</v>
      </c>
      <c r="EF65" s="317">
        <v>0</v>
      </c>
      <c r="EG65" s="317">
        <v>0</v>
      </c>
      <c r="EH65" s="317">
        <v>0</v>
      </c>
      <c r="EI65" s="317">
        <v>0</v>
      </c>
      <c r="EJ65" s="317">
        <v>0</v>
      </c>
      <c r="EK65" s="317">
        <v>1</v>
      </c>
      <c r="EL65" s="317">
        <v>0</v>
      </c>
      <c r="EM65" s="317">
        <v>0</v>
      </c>
      <c r="EN65" s="317">
        <v>0</v>
      </c>
      <c r="EO65" s="317">
        <v>1</v>
      </c>
      <c r="EP65" s="317">
        <v>0</v>
      </c>
      <c r="EQ65" s="317">
        <v>1</v>
      </c>
      <c r="ER65" s="317">
        <v>0</v>
      </c>
      <c r="ES65" s="317">
        <v>1</v>
      </c>
      <c r="ET65" s="317">
        <v>0</v>
      </c>
    </row>
    <row r="66" spans="1:150" x14ac:dyDescent="0.25">
      <c r="A66" s="310">
        <v>8371</v>
      </c>
      <c r="B66" s="310">
        <v>2023</v>
      </c>
      <c r="C66" s="310" t="s">
        <v>10</v>
      </c>
      <c r="D66" s="310" t="s">
        <v>815</v>
      </c>
      <c r="E66" s="310">
        <v>7789</v>
      </c>
      <c r="F66" s="310" t="s">
        <v>816</v>
      </c>
      <c r="G66" s="310">
        <v>9699</v>
      </c>
      <c r="H66" s="310" t="s">
        <v>817</v>
      </c>
      <c r="I66" s="310">
        <v>11204</v>
      </c>
      <c r="J66" s="310" t="s">
        <v>729</v>
      </c>
      <c r="K66" s="310" t="s">
        <v>778</v>
      </c>
      <c r="L66" s="310" t="s">
        <v>779</v>
      </c>
      <c r="M66" s="310" t="s">
        <v>732</v>
      </c>
      <c r="N66" s="310" t="s">
        <v>733</v>
      </c>
      <c r="O66" s="310" t="s">
        <v>734</v>
      </c>
      <c r="P66" s="310"/>
      <c r="Q66" s="310" t="s">
        <v>735</v>
      </c>
      <c r="R66" s="310" t="s">
        <v>818</v>
      </c>
      <c r="S66" s="310" t="s">
        <v>819</v>
      </c>
      <c r="T66" s="310">
        <v>36.239885999999998</v>
      </c>
      <c r="U66" s="310">
        <v>-106.42304300000001</v>
      </c>
      <c r="V66" s="310"/>
      <c r="W66" s="311">
        <v>3</v>
      </c>
      <c r="X66" s="311">
        <v>3</v>
      </c>
      <c r="Y66" s="310" t="s">
        <v>820</v>
      </c>
      <c r="Z66" s="310" t="s">
        <v>821</v>
      </c>
      <c r="AA66" s="310"/>
      <c r="AB66" s="312">
        <v>0.34009</v>
      </c>
      <c r="AC66" s="313">
        <v>15.6</v>
      </c>
      <c r="AD66" s="312"/>
      <c r="AE66" s="310"/>
      <c r="AF66" s="310"/>
      <c r="AG66" s="311"/>
      <c r="AH66" s="311"/>
      <c r="AI66" s="312"/>
      <c r="AJ66" s="310"/>
      <c r="AK66" s="314"/>
      <c r="AL66" s="314"/>
      <c r="AM66" s="314">
        <v>158573</v>
      </c>
      <c r="AN66" s="314">
        <v>82960</v>
      </c>
      <c r="AO66" s="314">
        <v>46475</v>
      </c>
      <c r="AP66" s="314">
        <v>24313.999</v>
      </c>
      <c r="AQ66" s="314"/>
      <c r="AR66" s="314"/>
      <c r="AS66" s="314"/>
      <c r="AT66" s="314"/>
      <c r="AU66" s="314"/>
      <c r="AV66" s="314"/>
      <c r="AW66" s="314"/>
      <c r="AX66" s="314"/>
      <c r="AY66" s="315"/>
      <c r="AZ66" s="315"/>
      <c r="BA66" s="315"/>
      <c r="BB66" s="315"/>
      <c r="BC66" s="315"/>
      <c r="BD66" s="315"/>
      <c r="BE66" s="315"/>
      <c r="BF66" s="315"/>
      <c r="BG66" s="315"/>
      <c r="BH66" s="315"/>
      <c r="BI66" s="315"/>
      <c r="BJ66" s="315"/>
      <c r="BK66" s="315"/>
      <c r="BL66" s="315"/>
      <c r="BM66" s="315"/>
      <c r="BN66" s="315"/>
      <c r="BO66" s="315"/>
      <c r="BP66" s="315"/>
      <c r="BQ66" s="315"/>
      <c r="BR66" s="315"/>
      <c r="BS66" s="315"/>
      <c r="BT66" s="315"/>
      <c r="BU66" s="315"/>
      <c r="BV66" s="315"/>
      <c r="BW66" s="311"/>
      <c r="BX66" s="311"/>
      <c r="BY66" s="311"/>
      <c r="BZ66" s="311"/>
      <c r="CA66" s="311"/>
      <c r="CB66" s="311"/>
      <c r="CC66" s="311"/>
      <c r="CD66" s="311"/>
      <c r="CE66" s="311"/>
      <c r="CF66" s="311"/>
      <c r="CG66" s="311"/>
      <c r="CH66" s="310">
        <v>158573</v>
      </c>
      <c r="CI66" s="310">
        <v>82960</v>
      </c>
      <c r="CJ66" s="310"/>
      <c r="CK66" s="310"/>
      <c r="CL66" s="310"/>
      <c r="CM66" s="310"/>
      <c r="CN66" s="310"/>
      <c r="CO66" s="310"/>
      <c r="CP66" s="310"/>
      <c r="CQ66" s="311" t="s">
        <v>744</v>
      </c>
      <c r="CR66" s="311" t="s">
        <v>742</v>
      </c>
      <c r="CS66" s="311" t="s">
        <v>742</v>
      </c>
      <c r="CT66" s="311"/>
      <c r="CU66" s="311"/>
      <c r="CV66" s="311"/>
      <c r="CW66" s="311"/>
      <c r="CX66" s="311"/>
      <c r="CY66" s="311"/>
      <c r="CZ66" s="311"/>
      <c r="DA66" s="311"/>
      <c r="DB66" s="311"/>
      <c r="DC66" s="311"/>
      <c r="DD66" s="311"/>
      <c r="DE66" s="316"/>
      <c r="DF66" s="314"/>
      <c r="DG66" s="314"/>
      <c r="DH66" s="314"/>
      <c r="DI66" s="314"/>
      <c r="DJ66" s="314"/>
      <c r="DK66" s="314">
        <v>0</v>
      </c>
      <c r="DL66" s="314">
        <v>0</v>
      </c>
      <c r="DM66" s="314">
        <v>0</v>
      </c>
      <c r="DN66" s="314">
        <v>0</v>
      </c>
      <c r="DO66" s="314">
        <v>46475</v>
      </c>
      <c r="DP66" s="314">
        <v>0</v>
      </c>
      <c r="DQ66" s="314">
        <v>0</v>
      </c>
      <c r="DR66" s="314">
        <v>0</v>
      </c>
      <c r="DS66" s="314">
        <v>0</v>
      </c>
      <c r="DT66" s="314">
        <v>0</v>
      </c>
      <c r="DU66" s="314">
        <v>0</v>
      </c>
      <c r="DV66" s="314">
        <v>0</v>
      </c>
      <c r="DW66" s="314">
        <v>46475</v>
      </c>
      <c r="DX66" s="314">
        <v>0</v>
      </c>
      <c r="DY66" s="314">
        <v>0</v>
      </c>
      <c r="DZ66" s="314">
        <v>0</v>
      </c>
      <c r="EA66" s="314">
        <v>46475</v>
      </c>
      <c r="EB66" s="314">
        <v>0</v>
      </c>
      <c r="EC66" s="317">
        <v>0</v>
      </c>
      <c r="ED66" s="317">
        <v>0</v>
      </c>
      <c r="EE66" s="317">
        <v>0</v>
      </c>
      <c r="EF66" s="317">
        <v>0</v>
      </c>
      <c r="EG66" s="317">
        <v>1</v>
      </c>
      <c r="EH66" s="317">
        <v>0</v>
      </c>
      <c r="EI66" s="317">
        <v>0</v>
      </c>
      <c r="EJ66" s="317">
        <v>0</v>
      </c>
      <c r="EK66" s="317">
        <v>0</v>
      </c>
      <c r="EL66" s="317">
        <v>0</v>
      </c>
      <c r="EM66" s="317">
        <v>0</v>
      </c>
      <c r="EN66" s="317">
        <v>0</v>
      </c>
      <c r="EO66" s="317">
        <v>1</v>
      </c>
      <c r="EP66" s="317">
        <v>0</v>
      </c>
      <c r="EQ66" s="317">
        <v>0</v>
      </c>
      <c r="ER66" s="317">
        <v>0</v>
      </c>
      <c r="ES66" s="317">
        <v>1</v>
      </c>
      <c r="ET66" s="317">
        <v>0</v>
      </c>
    </row>
    <row r="67" spans="1:150" x14ac:dyDescent="0.25">
      <c r="A67" s="310">
        <v>8373</v>
      </c>
      <c r="B67" s="310">
        <v>2023</v>
      </c>
      <c r="C67" s="310" t="s">
        <v>10</v>
      </c>
      <c r="D67" s="310" t="s">
        <v>822</v>
      </c>
      <c r="E67" s="310">
        <v>57577</v>
      </c>
      <c r="F67" s="310" t="s">
        <v>759</v>
      </c>
      <c r="G67" s="310">
        <v>15473</v>
      </c>
      <c r="H67" s="310" t="s">
        <v>823</v>
      </c>
      <c r="I67" s="310">
        <v>59300</v>
      </c>
      <c r="J67" s="310" t="s">
        <v>729</v>
      </c>
      <c r="K67" s="310" t="s">
        <v>760</v>
      </c>
      <c r="L67" s="310" t="s">
        <v>761</v>
      </c>
      <c r="M67" s="310" t="s">
        <v>732</v>
      </c>
      <c r="N67" s="310" t="s">
        <v>733</v>
      </c>
      <c r="O67" s="310" t="s">
        <v>734</v>
      </c>
      <c r="P67" s="310"/>
      <c r="Q67" s="310" t="s">
        <v>735</v>
      </c>
      <c r="R67" s="310" t="s">
        <v>824</v>
      </c>
      <c r="S67" s="310" t="s">
        <v>825</v>
      </c>
      <c r="T67" s="310">
        <v>32.86571</v>
      </c>
      <c r="U67" s="310">
        <v>-105.999775</v>
      </c>
      <c r="V67" s="310"/>
      <c r="W67" s="311">
        <v>1</v>
      </c>
      <c r="X67" s="311">
        <v>1</v>
      </c>
      <c r="Y67" s="310" t="s">
        <v>826</v>
      </c>
      <c r="Z67" s="310" t="s">
        <v>827</v>
      </c>
      <c r="AA67" s="310"/>
      <c r="AB67" s="312">
        <v>0.25799</v>
      </c>
      <c r="AC67" s="313">
        <v>5</v>
      </c>
      <c r="AD67" s="312"/>
      <c r="AE67" s="310"/>
      <c r="AF67" s="310"/>
      <c r="AG67" s="311"/>
      <c r="AH67" s="311"/>
      <c r="AI67" s="312"/>
      <c r="AJ67" s="310"/>
      <c r="AK67" s="314"/>
      <c r="AL67" s="314"/>
      <c r="AM67" s="314">
        <v>38556</v>
      </c>
      <c r="AN67" s="314">
        <v>17721</v>
      </c>
      <c r="AO67" s="314">
        <v>11300</v>
      </c>
      <c r="AP67" s="314">
        <v>5194</v>
      </c>
      <c r="AQ67" s="314"/>
      <c r="AR67" s="314"/>
      <c r="AS67" s="314"/>
      <c r="AT67" s="314"/>
      <c r="AU67" s="314"/>
      <c r="AV67" s="314"/>
      <c r="AW67" s="314"/>
      <c r="AX67" s="314"/>
      <c r="AY67" s="315"/>
      <c r="AZ67" s="315"/>
      <c r="BA67" s="315"/>
      <c r="BB67" s="315"/>
      <c r="BC67" s="315"/>
      <c r="BD67" s="315"/>
      <c r="BE67" s="315"/>
      <c r="BF67" s="315"/>
      <c r="BG67" s="315"/>
      <c r="BH67" s="315"/>
      <c r="BI67" s="315"/>
      <c r="BJ67" s="315"/>
      <c r="BK67" s="315"/>
      <c r="BL67" s="315"/>
      <c r="BM67" s="315"/>
      <c r="BN67" s="315"/>
      <c r="BO67" s="315"/>
      <c r="BP67" s="315"/>
      <c r="BQ67" s="315"/>
      <c r="BR67" s="315"/>
      <c r="BS67" s="315"/>
      <c r="BT67" s="315"/>
      <c r="BU67" s="315"/>
      <c r="BV67" s="315"/>
      <c r="BW67" s="311"/>
      <c r="BX67" s="311"/>
      <c r="BY67" s="311"/>
      <c r="BZ67" s="311"/>
      <c r="CA67" s="311"/>
      <c r="CB67" s="311"/>
      <c r="CC67" s="311"/>
      <c r="CD67" s="311"/>
      <c r="CE67" s="311"/>
      <c r="CF67" s="311"/>
      <c r="CG67" s="311"/>
      <c r="CH67" s="310">
        <v>38556</v>
      </c>
      <c r="CI67" s="310">
        <v>17721</v>
      </c>
      <c r="CJ67" s="310"/>
      <c r="CK67" s="310"/>
      <c r="CL67" s="310"/>
      <c r="CM67" s="310"/>
      <c r="CN67" s="310"/>
      <c r="CO67" s="310"/>
      <c r="CP67" s="310"/>
      <c r="CQ67" s="311" t="s">
        <v>744</v>
      </c>
      <c r="CR67" s="311" t="s">
        <v>742</v>
      </c>
      <c r="CS67" s="311" t="s">
        <v>742</v>
      </c>
      <c r="CT67" s="311"/>
      <c r="CU67" s="311"/>
      <c r="CV67" s="311"/>
      <c r="CW67" s="311"/>
      <c r="CX67" s="311"/>
      <c r="CY67" s="311"/>
      <c r="CZ67" s="311"/>
      <c r="DA67" s="311"/>
      <c r="DB67" s="311"/>
      <c r="DC67" s="311"/>
      <c r="DD67" s="311"/>
      <c r="DE67" s="316"/>
      <c r="DF67" s="314"/>
      <c r="DG67" s="314"/>
      <c r="DH67" s="314"/>
      <c r="DI67" s="314"/>
      <c r="DJ67" s="314"/>
      <c r="DK67" s="314">
        <v>0</v>
      </c>
      <c r="DL67" s="314">
        <v>0</v>
      </c>
      <c r="DM67" s="314">
        <v>0</v>
      </c>
      <c r="DN67" s="314">
        <v>0</v>
      </c>
      <c r="DO67" s="314">
        <v>0</v>
      </c>
      <c r="DP67" s="314">
        <v>0</v>
      </c>
      <c r="DQ67" s="314">
        <v>0</v>
      </c>
      <c r="DR67" s="314">
        <v>11300</v>
      </c>
      <c r="DS67" s="314">
        <v>0</v>
      </c>
      <c r="DT67" s="314">
        <v>0</v>
      </c>
      <c r="DU67" s="314">
        <v>0</v>
      </c>
      <c r="DV67" s="314">
        <v>0</v>
      </c>
      <c r="DW67" s="314">
        <v>11300</v>
      </c>
      <c r="DX67" s="314">
        <v>0</v>
      </c>
      <c r="DY67" s="314">
        <v>11300</v>
      </c>
      <c r="DZ67" s="314">
        <v>0</v>
      </c>
      <c r="EA67" s="314">
        <v>11300</v>
      </c>
      <c r="EB67" s="314">
        <v>0</v>
      </c>
      <c r="EC67" s="317">
        <v>0</v>
      </c>
      <c r="ED67" s="317">
        <v>0</v>
      </c>
      <c r="EE67" s="317">
        <v>0</v>
      </c>
      <c r="EF67" s="317">
        <v>0</v>
      </c>
      <c r="EG67" s="317">
        <v>0</v>
      </c>
      <c r="EH67" s="317">
        <v>0</v>
      </c>
      <c r="EI67" s="317">
        <v>0</v>
      </c>
      <c r="EJ67" s="317">
        <v>1</v>
      </c>
      <c r="EK67" s="317">
        <v>0</v>
      </c>
      <c r="EL67" s="317">
        <v>0</v>
      </c>
      <c r="EM67" s="317">
        <v>0</v>
      </c>
      <c r="EN67" s="317">
        <v>0</v>
      </c>
      <c r="EO67" s="317">
        <v>1</v>
      </c>
      <c r="EP67" s="317">
        <v>0</v>
      </c>
      <c r="EQ67" s="317">
        <v>1</v>
      </c>
      <c r="ER67" s="317">
        <v>0</v>
      </c>
      <c r="ES67" s="317">
        <v>1</v>
      </c>
      <c r="ET67" s="317">
        <v>0</v>
      </c>
    </row>
    <row r="68" spans="1:150" x14ac:dyDescent="0.25">
      <c r="A68" s="310">
        <v>8374</v>
      </c>
      <c r="B68" s="310">
        <v>2023</v>
      </c>
      <c r="C68" s="310" t="s">
        <v>10</v>
      </c>
      <c r="D68" s="310" t="s">
        <v>828</v>
      </c>
      <c r="E68" s="310">
        <v>57567</v>
      </c>
      <c r="F68" s="310" t="s">
        <v>759</v>
      </c>
      <c r="G68" s="310">
        <v>15473</v>
      </c>
      <c r="H68" s="310" t="s">
        <v>823</v>
      </c>
      <c r="I68" s="310">
        <v>59300</v>
      </c>
      <c r="J68" s="310" t="s">
        <v>729</v>
      </c>
      <c r="K68" s="310" t="s">
        <v>760</v>
      </c>
      <c r="L68" s="310" t="s">
        <v>761</v>
      </c>
      <c r="M68" s="310" t="s">
        <v>732</v>
      </c>
      <c r="N68" s="310" t="s">
        <v>733</v>
      </c>
      <c r="O68" s="310" t="s">
        <v>734</v>
      </c>
      <c r="P68" s="310"/>
      <c r="Q68" s="310" t="s">
        <v>735</v>
      </c>
      <c r="R68" s="310" t="s">
        <v>772</v>
      </c>
      <c r="S68" s="310" t="s">
        <v>773</v>
      </c>
      <c r="T68" s="310">
        <v>35.168956999999999</v>
      </c>
      <c r="U68" s="310">
        <v>-106.60005</v>
      </c>
      <c r="V68" s="310"/>
      <c r="W68" s="311">
        <v>1</v>
      </c>
      <c r="X68" s="311">
        <v>1</v>
      </c>
      <c r="Y68" s="310" t="s">
        <v>826</v>
      </c>
      <c r="Z68" s="310" t="s">
        <v>827</v>
      </c>
      <c r="AA68" s="310"/>
      <c r="AB68" s="312">
        <v>0.22739999999999999</v>
      </c>
      <c r="AC68" s="313">
        <v>2</v>
      </c>
      <c r="AD68" s="312"/>
      <c r="AE68" s="310"/>
      <c r="AF68" s="310"/>
      <c r="AG68" s="311"/>
      <c r="AH68" s="311"/>
      <c r="AI68" s="312"/>
      <c r="AJ68" s="310"/>
      <c r="AK68" s="314"/>
      <c r="AL68" s="314"/>
      <c r="AM68" s="314">
        <v>13594</v>
      </c>
      <c r="AN68" s="314">
        <v>6675</v>
      </c>
      <c r="AO68" s="314">
        <v>3984</v>
      </c>
      <c r="AP68" s="314">
        <v>1956</v>
      </c>
      <c r="AQ68" s="314"/>
      <c r="AR68" s="314"/>
      <c r="AS68" s="314"/>
      <c r="AT68" s="314"/>
      <c r="AU68" s="314"/>
      <c r="AV68" s="314"/>
      <c r="AW68" s="314"/>
      <c r="AX68" s="314"/>
      <c r="AY68" s="315"/>
      <c r="AZ68" s="315"/>
      <c r="BA68" s="315"/>
      <c r="BB68" s="315"/>
      <c r="BC68" s="315"/>
      <c r="BD68" s="315"/>
      <c r="BE68" s="315"/>
      <c r="BF68" s="315"/>
      <c r="BG68" s="315"/>
      <c r="BH68" s="315"/>
      <c r="BI68" s="315"/>
      <c r="BJ68" s="315"/>
      <c r="BK68" s="315"/>
      <c r="BL68" s="315"/>
      <c r="BM68" s="315"/>
      <c r="BN68" s="315"/>
      <c r="BO68" s="315"/>
      <c r="BP68" s="315"/>
      <c r="BQ68" s="315"/>
      <c r="BR68" s="315"/>
      <c r="BS68" s="315"/>
      <c r="BT68" s="315"/>
      <c r="BU68" s="315"/>
      <c r="BV68" s="315"/>
      <c r="BW68" s="311"/>
      <c r="BX68" s="311"/>
      <c r="BY68" s="311"/>
      <c r="BZ68" s="311"/>
      <c r="CA68" s="311"/>
      <c r="CB68" s="311"/>
      <c r="CC68" s="311"/>
      <c r="CD68" s="311"/>
      <c r="CE68" s="311"/>
      <c r="CF68" s="311"/>
      <c r="CG68" s="311"/>
      <c r="CH68" s="310">
        <v>13594</v>
      </c>
      <c r="CI68" s="310">
        <v>6675</v>
      </c>
      <c r="CJ68" s="310"/>
      <c r="CK68" s="310"/>
      <c r="CL68" s="310"/>
      <c r="CM68" s="310"/>
      <c r="CN68" s="310"/>
      <c r="CO68" s="310"/>
      <c r="CP68" s="310"/>
      <c r="CQ68" s="311" t="s">
        <v>744</v>
      </c>
      <c r="CR68" s="311" t="s">
        <v>742</v>
      </c>
      <c r="CS68" s="311" t="s">
        <v>742</v>
      </c>
      <c r="CT68" s="311"/>
      <c r="CU68" s="311"/>
      <c r="CV68" s="311"/>
      <c r="CW68" s="311"/>
      <c r="CX68" s="311"/>
      <c r="CY68" s="311"/>
      <c r="CZ68" s="311"/>
      <c r="DA68" s="311"/>
      <c r="DB68" s="311"/>
      <c r="DC68" s="311"/>
      <c r="DD68" s="311"/>
      <c r="DE68" s="316"/>
      <c r="DF68" s="314"/>
      <c r="DG68" s="314"/>
      <c r="DH68" s="314"/>
      <c r="DI68" s="314"/>
      <c r="DJ68" s="314"/>
      <c r="DK68" s="314">
        <v>0</v>
      </c>
      <c r="DL68" s="314">
        <v>0</v>
      </c>
      <c r="DM68" s="314">
        <v>0</v>
      </c>
      <c r="DN68" s="314">
        <v>0</v>
      </c>
      <c r="DO68" s="314">
        <v>0</v>
      </c>
      <c r="DP68" s="314">
        <v>0</v>
      </c>
      <c r="DQ68" s="314">
        <v>0</v>
      </c>
      <c r="DR68" s="314">
        <v>3984</v>
      </c>
      <c r="DS68" s="314">
        <v>0</v>
      </c>
      <c r="DT68" s="314">
        <v>0</v>
      </c>
      <c r="DU68" s="314">
        <v>0</v>
      </c>
      <c r="DV68" s="314">
        <v>0</v>
      </c>
      <c r="DW68" s="314">
        <v>3984</v>
      </c>
      <c r="DX68" s="314">
        <v>0</v>
      </c>
      <c r="DY68" s="314">
        <v>3984</v>
      </c>
      <c r="DZ68" s="314">
        <v>0</v>
      </c>
      <c r="EA68" s="314">
        <v>3984</v>
      </c>
      <c r="EB68" s="314">
        <v>0</v>
      </c>
      <c r="EC68" s="317">
        <v>0</v>
      </c>
      <c r="ED68" s="317">
        <v>0</v>
      </c>
      <c r="EE68" s="317">
        <v>0</v>
      </c>
      <c r="EF68" s="317">
        <v>0</v>
      </c>
      <c r="EG68" s="317">
        <v>0</v>
      </c>
      <c r="EH68" s="317">
        <v>0</v>
      </c>
      <c r="EI68" s="317">
        <v>0</v>
      </c>
      <c r="EJ68" s="317">
        <v>1</v>
      </c>
      <c r="EK68" s="317">
        <v>0</v>
      </c>
      <c r="EL68" s="317">
        <v>0</v>
      </c>
      <c r="EM68" s="317">
        <v>0</v>
      </c>
      <c r="EN68" s="317">
        <v>0</v>
      </c>
      <c r="EO68" s="317">
        <v>1</v>
      </c>
      <c r="EP68" s="317">
        <v>0</v>
      </c>
      <c r="EQ68" s="317">
        <v>1</v>
      </c>
      <c r="ER68" s="317">
        <v>0</v>
      </c>
      <c r="ES68" s="317">
        <v>1</v>
      </c>
      <c r="ET68" s="317">
        <v>0</v>
      </c>
    </row>
    <row r="69" spans="1:150" x14ac:dyDescent="0.25">
      <c r="A69" s="310">
        <v>8375</v>
      </c>
      <c r="B69" s="310">
        <v>2023</v>
      </c>
      <c r="C69" s="310" t="s">
        <v>10</v>
      </c>
      <c r="D69" s="310" t="s">
        <v>829</v>
      </c>
      <c r="E69" s="310">
        <v>63477</v>
      </c>
      <c r="F69" s="310" t="s">
        <v>816</v>
      </c>
      <c r="G69" s="310">
        <v>9699</v>
      </c>
      <c r="H69" s="310" t="s">
        <v>830</v>
      </c>
      <c r="I69" s="310">
        <v>63213</v>
      </c>
      <c r="J69" s="310" t="s">
        <v>748</v>
      </c>
      <c r="K69" s="310" t="s">
        <v>760</v>
      </c>
      <c r="L69" s="310" t="s">
        <v>761</v>
      </c>
      <c r="M69" s="310" t="s">
        <v>732</v>
      </c>
      <c r="N69" s="310" t="s">
        <v>733</v>
      </c>
      <c r="O69" s="310" t="s">
        <v>734</v>
      </c>
      <c r="P69" s="310"/>
      <c r="Q69" s="310" t="s">
        <v>735</v>
      </c>
      <c r="R69" s="310" t="s">
        <v>818</v>
      </c>
      <c r="S69" s="310" t="s">
        <v>819</v>
      </c>
      <c r="T69" s="310">
        <v>36.091143000000002</v>
      </c>
      <c r="U69" s="310">
        <v>-106.040879</v>
      </c>
      <c r="V69" s="310"/>
      <c r="W69" s="311">
        <v>1</v>
      </c>
      <c r="X69" s="311">
        <v>1</v>
      </c>
      <c r="Y69" s="310" t="s">
        <v>826</v>
      </c>
      <c r="Z69" s="310" t="s">
        <v>827</v>
      </c>
      <c r="AA69" s="310"/>
      <c r="AB69" s="312">
        <v>0.28372000000000003</v>
      </c>
      <c r="AC69" s="313">
        <v>2.4</v>
      </c>
      <c r="AD69" s="312"/>
      <c r="AE69" s="310"/>
      <c r="AF69" s="310"/>
      <c r="AG69" s="311"/>
      <c r="AH69" s="311"/>
      <c r="AI69" s="312"/>
      <c r="AJ69" s="310"/>
      <c r="AK69" s="314"/>
      <c r="AL69" s="314"/>
      <c r="AM69" s="314">
        <v>20352</v>
      </c>
      <c r="AN69" s="314">
        <v>10216</v>
      </c>
      <c r="AO69" s="314">
        <v>5965</v>
      </c>
      <c r="AP69" s="314">
        <v>2994</v>
      </c>
      <c r="AQ69" s="314"/>
      <c r="AR69" s="314"/>
      <c r="AS69" s="314"/>
      <c r="AT69" s="314"/>
      <c r="AU69" s="314"/>
      <c r="AV69" s="314"/>
      <c r="AW69" s="314"/>
      <c r="AX69" s="314"/>
      <c r="AY69" s="315"/>
      <c r="AZ69" s="315"/>
      <c r="BA69" s="315"/>
      <c r="BB69" s="315"/>
      <c r="BC69" s="315"/>
      <c r="BD69" s="315"/>
      <c r="BE69" s="315"/>
      <c r="BF69" s="315"/>
      <c r="BG69" s="315"/>
      <c r="BH69" s="315"/>
      <c r="BI69" s="315"/>
      <c r="BJ69" s="315"/>
      <c r="BK69" s="315"/>
      <c r="BL69" s="315"/>
      <c r="BM69" s="315"/>
      <c r="BN69" s="315"/>
      <c r="BO69" s="315"/>
      <c r="BP69" s="315"/>
      <c r="BQ69" s="315"/>
      <c r="BR69" s="315"/>
      <c r="BS69" s="315"/>
      <c r="BT69" s="315"/>
      <c r="BU69" s="315"/>
      <c r="BV69" s="315"/>
      <c r="BW69" s="311"/>
      <c r="BX69" s="311"/>
      <c r="BY69" s="311"/>
      <c r="BZ69" s="311"/>
      <c r="CA69" s="311"/>
      <c r="CB69" s="311"/>
      <c r="CC69" s="311"/>
      <c r="CD69" s="311"/>
      <c r="CE69" s="311"/>
      <c r="CF69" s="311"/>
      <c r="CG69" s="311"/>
      <c r="CH69" s="310">
        <v>20352</v>
      </c>
      <c r="CI69" s="310">
        <v>10216</v>
      </c>
      <c r="CJ69" s="310"/>
      <c r="CK69" s="310"/>
      <c r="CL69" s="310"/>
      <c r="CM69" s="310"/>
      <c r="CN69" s="310"/>
      <c r="CO69" s="310"/>
      <c r="CP69" s="310"/>
      <c r="CQ69" s="311" t="s">
        <v>744</v>
      </c>
      <c r="CR69" s="311" t="s">
        <v>742</v>
      </c>
      <c r="CS69" s="311" t="s">
        <v>742</v>
      </c>
      <c r="CT69" s="311"/>
      <c r="CU69" s="311"/>
      <c r="CV69" s="311"/>
      <c r="CW69" s="311"/>
      <c r="CX69" s="311"/>
      <c r="CY69" s="311"/>
      <c r="CZ69" s="311"/>
      <c r="DA69" s="311"/>
      <c r="DB69" s="311"/>
      <c r="DC69" s="311"/>
      <c r="DD69" s="311"/>
      <c r="DE69" s="316"/>
      <c r="DF69" s="314"/>
      <c r="DG69" s="314"/>
      <c r="DH69" s="314"/>
      <c r="DI69" s="314"/>
      <c r="DJ69" s="314"/>
      <c r="DK69" s="314">
        <v>0</v>
      </c>
      <c r="DL69" s="314">
        <v>0</v>
      </c>
      <c r="DM69" s="314">
        <v>0</v>
      </c>
      <c r="DN69" s="314">
        <v>0</v>
      </c>
      <c r="DO69" s="314">
        <v>0</v>
      </c>
      <c r="DP69" s="314">
        <v>0</v>
      </c>
      <c r="DQ69" s="314">
        <v>0</v>
      </c>
      <c r="DR69" s="314">
        <v>5965</v>
      </c>
      <c r="DS69" s="314">
        <v>0</v>
      </c>
      <c r="DT69" s="314">
        <v>0</v>
      </c>
      <c r="DU69" s="314">
        <v>0</v>
      </c>
      <c r="DV69" s="314">
        <v>0</v>
      </c>
      <c r="DW69" s="314">
        <v>5965</v>
      </c>
      <c r="DX69" s="314">
        <v>0</v>
      </c>
      <c r="DY69" s="314">
        <v>5965</v>
      </c>
      <c r="DZ69" s="314">
        <v>0</v>
      </c>
      <c r="EA69" s="314">
        <v>5965</v>
      </c>
      <c r="EB69" s="314">
        <v>0</v>
      </c>
      <c r="EC69" s="317">
        <v>0</v>
      </c>
      <c r="ED69" s="317">
        <v>0</v>
      </c>
      <c r="EE69" s="317">
        <v>0</v>
      </c>
      <c r="EF69" s="317">
        <v>0</v>
      </c>
      <c r="EG69" s="317">
        <v>0</v>
      </c>
      <c r="EH69" s="317">
        <v>0</v>
      </c>
      <c r="EI69" s="317">
        <v>0</v>
      </c>
      <c r="EJ69" s="317">
        <v>1</v>
      </c>
      <c r="EK69" s="317">
        <v>0</v>
      </c>
      <c r="EL69" s="317">
        <v>0</v>
      </c>
      <c r="EM69" s="317">
        <v>0</v>
      </c>
      <c r="EN69" s="317">
        <v>0</v>
      </c>
      <c r="EO69" s="317">
        <v>1</v>
      </c>
      <c r="EP69" s="317">
        <v>0</v>
      </c>
      <c r="EQ69" s="317">
        <v>1</v>
      </c>
      <c r="ER69" s="317">
        <v>0</v>
      </c>
      <c r="ES69" s="317">
        <v>1</v>
      </c>
      <c r="ET69" s="317">
        <v>0</v>
      </c>
    </row>
    <row r="70" spans="1:150" x14ac:dyDescent="0.25">
      <c r="A70" s="310">
        <v>8376</v>
      </c>
      <c r="B70" s="310">
        <v>2023</v>
      </c>
      <c r="C70" s="310" t="s">
        <v>10</v>
      </c>
      <c r="D70" s="310" t="s">
        <v>831</v>
      </c>
      <c r="E70" s="310">
        <v>2475</v>
      </c>
      <c r="F70" s="310" t="s">
        <v>759</v>
      </c>
      <c r="G70" s="310">
        <v>15473</v>
      </c>
      <c r="H70" s="310" t="s">
        <v>759</v>
      </c>
      <c r="I70" s="310">
        <v>15473</v>
      </c>
      <c r="J70" s="310" t="s">
        <v>729</v>
      </c>
      <c r="K70" s="310" t="s">
        <v>760</v>
      </c>
      <c r="L70" s="310" t="s">
        <v>761</v>
      </c>
      <c r="M70" s="310" t="s">
        <v>732</v>
      </c>
      <c r="N70" s="310" t="s">
        <v>733</v>
      </c>
      <c r="O70" s="310" t="s">
        <v>734</v>
      </c>
      <c r="P70" s="310"/>
      <c r="Q70" s="310" t="s">
        <v>735</v>
      </c>
      <c r="R70" s="310" t="s">
        <v>832</v>
      </c>
      <c r="S70" s="310" t="s">
        <v>833</v>
      </c>
      <c r="T70" s="310">
        <v>35.384444000000002</v>
      </c>
      <c r="U70" s="310">
        <v>-106.464167</v>
      </c>
      <c r="V70" s="310"/>
      <c r="W70" s="311">
        <v>3</v>
      </c>
      <c r="X70" s="311">
        <v>3</v>
      </c>
      <c r="Y70" s="310" t="s">
        <v>58</v>
      </c>
      <c r="Z70" s="310" t="s">
        <v>756</v>
      </c>
      <c r="AA70" s="310"/>
      <c r="AB70" s="312"/>
      <c r="AC70" s="313">
        <v>45</v>
      </c>
      <c r="AD70" s="312"/>
      <c r="AE70" s="310"/>
      <c r="AF70" s="310"/>
      <c r="AG70" s="311"/>
      <c r="AH70" s="311"/>
      <c r="AI70" s="312"/>
      <c r="AJ70" s="310"/>
      <c r="AK70" s="314">
        <v>0</v>
      </c>
      <c r="AL70" s="314">
        <v>0</v>
      </c>
      <c r="AM70" s="314"/>
      <c r="AN70" s="314"/>
      <c r="AO70" s="314"/>
      <c r="AP70" s="314"/>
      <c r="AQ70" s="314"/>
      <c r="AR70" s="314"/>
      <c r="AS70" s="314"/>
      <c r="AT70" s="314"/>
      <c r="AU70" s="314"/>
      <c r="AV70" s="314"/>
      <c r="AW70" s="314"/>
      <c r="AX70" s="314"/>
      <c r="AY70" s="315"/>
      <c r="AZ70" s="315"/>
      <c r="BA70" s="315"/>
      <c r="BB70" s="315"/>
      <c r="BC70" s="315"/>
      <c r="BD70" s="315"/>
      <c r="BE70" s="315"/>
      <c r="BF70" s="315"/>
      <c r="BG70" s="315"/>
      <c r="BH70" s="315"/>
      <c r="BI70" s="315"/>
      <c r="BJ70" s="315"/>
      <c r="BK70" s="315"/>
      <c r="BL70" s="315"/>
      <c r="BM70" s="315"/>
      <c r="BN70" s="315"/>
      <c r="BO70" s="315"/>
      <c r="BP70" s="315"/>
      <c r="BQ70" s="315"/>
      <c r="BR70" s="315"/>
      <c r="BS70" s="315"/>
      <c r="BT70" s="315"/>
      <c r="BU70" s="315"/>
      <c r="BV70" s="315"/>
      <c r="BW70" s="311"/>
      <c r="BX70" s="311"/>
      <c r="BY70" s="311"/>
      <c r="BZ70" s="311"/>
      <c r="CA70" s="311"/>
      <c r="CB70" s="311"/>
      <c r="CC70" s="311"/>
      <c r="CD70" s="311"/>
      <c r="CE70" s="311"/>
      <c r="CF70" s="311">
        <v>0</v>
      </c>
      <c r="CG70" s="311">
        <v>0</v>
      </c>
      <c r="CH70" s="310"/>
      <c r="CI70" s="310"/>
      <c r="CJ70" s="310"/>
      <c r="CK70" s="310"/>
      <c r="CL70" s="310"/>
      <c r="CM70" s="310"/>
      <c r="CN70" s="310"/>
      <c r="CO70" s="310"/>
      <c r="CP70" s="310"/>
      <c r="CQ70" s="311" t="s">
        <v>744</v>
      </c>
      <c r="CR70" s="311"/>
      <c r="CS70" s="311"/>
      <c r="CT70" s="311"/>
      <c r="CU70" s="311"/>
      <c r="CV70" s="311"/>
      <c r="CW70" s="311"/>
      <c r="CX70" s="311"/>
      <c r="CY70" s="311"/>
      <c r="CZ70" s="311"/>
      <c r="DA70" s="311"/>
      <c r="DB70" s="311"/>
      <c r="DC70" s="311"/>
      <c r="DD70" s="311"/>
      <c r="DE70" s="316"/>
      <c r="DF70" s="314"/>
      <c r="DG70" s="314"/>
      <c r="DH70" s="314"/>
      <c r="DI70" s="314"/>
      <c r="DJ70" s="314"/>
      <c r="DK70" s="314"/>
      <c r="DL70" s="314"/>
      <c r="DM70" s="314"/>
      <c r="DN70" s="314"/>
      <c r="DO70" s="314"/>
      <c r="DP70" s="314"/>
      <c r="DQ70" s="314"/>
      <c r="DR70" s="314"/>
      <c r="DS70" s="314"/>
      <c r="DT70" s="314"/>
      <c r="DU70" s="314"/>
      <c r="DV70" s="314"/>
      <c r="DW70" s="314"/>
      <c r="DX70" s="314"/>
      <c r="DY70" s="314"/>
      <c r="DZ70" s="314"/>
      <c r="EA70" s="314"/>
      <c r="EB70" s="314"/>
      <c r="EC70" s="317"/>
      <c r="ED70" s="317"/>
      <c r="EE70" s="317"/>
      <c r="EF70" s="317"/>
      <c r="EG70" s="317"/>
      <c r="EH70" s="317"/>
      <c r="EI70" s="317"/>
      <c r="EJ70" s="317"/>
      <c r="EK70" s="317"/>
      <c r="EL70" s="317"/>
      <c r="EM70" s="317"/>
      <c r="EN70" s="317"/>
      <c r="EO70" s="317"/>
      <c r="EP70" s="317"/>
      <c r="EQ70" s="317"/>
      <c r="ER70" s="317"/>
      <c r="ES70" s="317"/>
      <c r="ET70" s="317"/>
    </row>
    <row r="71" spans="1:150" x14ac:dyDescent="0.25">
      <c r="A71" s="310">
        <v>8377</v>
      </c>
      <c r="B71" s="310">
        <v>2023</v>
      </c>
      <c r="C71" s="310" t="s">
        <v>10</v>
      </c>
      <c r="D71" s="310" t="s">
        <v>834</v>
      </c>
      <c r="E71" s="310">
        <v>60258</v>
      </c>
      <c r="F71" s="310" t="s">
        <v>781</v>
      </c>
      <c r="G71" s="310">
        <v>30151</v>
      </c>
      <c r="H71" s="310" t="s">
        <v>835</v>
      </c>
      <c r="I71" s="310">
        <v>60046</v>
      </c>
      <c r="J71" s="310" t="s">
        <v>748</v>
      </c>
      <c r="K71" s="310" t="s">
        <v>760</v>
      </c>
      <c r="L71" s="310" t="s">
        <v>761</v>
      </c>
      <c r="M71" s="310" t="s">
        <v>732</v>
      </c>
      <c r="N71" s="310" t="s">
        <v>733</v>
      </c>
      <c r="O71" s="310" t="s">
        <v>734</v>
      </c>
      <c r="P71" s="310"/>
      <c r="Q71" s="310" t="s">
        <v>735</v>
      </c>
      <c r="R71" s="310" t="s">
        <v>762</v>
      </c>
      <c r="S71" s="310" t="s">
        <v>763</v>
      </c>
      <c r="T71" s="310">
        <v>32.572021999999997</v>
      </c>
      <c r="U71" s="310">
        <v>-107.486458</v>
      </c>
      <c r="V71" s="310"/>
      <c r="W71" s="311">
        <v>1</v>
      </c>
      <c r="X71" s="311">
        <v>1</v>
      </c>
      <c r="Y71" s="310" t="s">
        <v>826</v>
      </c>
      <c r="Z71" s="310" t="s">
        <v>827</v>
      </c>
      <c r="AA71" s="310"/>
      <c r="AB71" s="312">
        <v>0.23587</v>
      </c>
      <c r="AC71" s="313">
        <v>28.1</v>
      </c>
      <c r="AD71" s="312"/>
      <c r="AE71" s="310"/>
      <c r="AF71" s="310"/>
      <c r="AG71" s="311"/>
      <c r="AH71" s="311"/>
      <c r="AI71" s="312"/>
      <c r="AJ71" s="310"/>
      <c r="AK71" s="314"/>
      <c r="AL71" s="314"/>
      <c r="AM71" s="314">
        <v>198104</v>
      </c>
      <c r="AN71" s="314">
        <v>91861</v>
      </c>
      <c r="AO71" s="314">
        <v>58061</v>
      </c>
      <c r="AP71" s="314">
        <v>26923</v>
      </c>
      <c r="AQ71" s="314"/>
      <c r="AR71" s="314"/>
      <c r="AS71" s="314"/>
      <c r="AT71" s="314"/>
      <c r="AU71" s="314"/>
      <c r="AV71" s="314"/>
      <c r="AW71" s="314"/>
      <c r="AX71" s="314"/>
      <c r="AY71" s="315"/>
      <c r="AZ71" s="315"/>
      <c r="BA71" s="315"/>
      <c r="BB71" s="315"/>
      <c r="BC71" s="315"/>
      <c r="BD71" s="315"/>
      <c r="BE71" s="315"/>
      <c r="BF71" s="315"/>
      <c r="BG71" s="315"/>
      <c r="BH71" s="315"/>
      <c r="BI71" s="315"/>
      <c r="BJ71" s="315"/>
      <c r="BK71" s="315"/>
      <c r="BL71" s="315"/>
      <c r="BM71" s="315"/>
      <c r="BN71" s="315"/>
      <c r="BO71" s="315"/>
      <c r="BP71" s="315"/>
      <c r="BQ71" s="315"/>
      <c r="BR71" s="315"/>
      <c r="BS71" s="315"/>
      <c r="BT71" s="315"/>
      <c r="BU71" s="315"/>
      <c r="BV71" s="315"/>
      <c r="BW71" s="311"/>
      <c r="BX71" s="311"/>
      <c r="BY71" s="311"/>
      <c r="BZ71" s="311"/>
      <c r="CA71" s="311"/>
      <c r="CB71" s="311"/>
      <c r="CC71" s="311"/>
      <c r="CD71" s="311"/>
      <c r="CE71" s="311"/>
      <c r="CF71" s="311"/>
      <c r="CG71" s="311"/>
      <c r="CH71" s="310">
        <v>198104</v>
      </c>
      <c r="CI71" s="310">
        <v>91861</v>
      </c>
      <c r="CJ71" s="310"/>
      <c r="CK71" s="310"/>
      <c r="CL71" s="310"/>
      <c r="CM71" s="310"/>
      <c r="CN71" s="310"/>
      <c r="CO71" s="310"/>
      <c r="CP71" s="310"/>
      <c r="CQ71" s="311" t="s">
        <v>744</v>
      </c>
      <c r="CR71" s="311" t="s">
        <v>742</v>
      </c>
      <c r="CS71" s="311" t="s">
        <v>742</v>
      </c>
      <c r="CT71" s="311"/>
      <c r="CU71" s="311"/>
      <c r="CV71" s="311"/>
      <c r="CW71" s="311"/>
      <c r="CX71" s="311"/>
      <c r="CY71" s="311"/>
      <c r="CZ71" s="311"/>
      <c r="DA71" s="311"/>
      <c r="DB71" s="311"/>
      <c r="DC71" s="311"/>
      <c r="DD71" s="311"/>
      <c r="DE71" s="316"/>
      <c r="DF71" s="314"/>
      <c r="DG71" s="314"/>
      <c r="DH71" s="314"/>
      <c r="DI71" s="314"/>
      <c r="DJ71" s="314"/>
      <c r="DK71" s="314">
        <v>0</v>
      </c>
      <c r="DL71" s="314">
        <v>0</v>
      </c>
      <c r="DM71" s="314">
        <v>0</v>
      </c>
      <c r="DN71" s="314">
        <v>0</v>
      </c>
      <c r="DO71" s="314">
        <v>0</v>
      </c>
      <c r="DP71" s="314">
        <v>0</v>
      </c>
      <c r="DQ71" s="314">
        <v>0</v>
      </c>
      <c r="DR71" s="314">
        <v>58061</v>
      </c>
      <c r="DS71" s="314">
        <v>0</v>
      </c>
      <c r="DT71" s="314">
        <v>0</v>
      </c>
      <c r="DU71" s="314">
        <v>0</v>
      </c>
      <c r="DV71" s="314">
        <v>0</v>
      </c>
      <c r="DW71" s="314">
        <v>58061</v>
      </c>
      <c r="DX71" s="314">
        <v>0</v>
      </c>
      <c r="DY71" s="314">
        <v>58061</v>
      </c>
      <c r="DZ71" s="314">
        <v>0</v>
      </c>
      <c r="EA71" s="314">
        <v>58061</v>
      </c>
      <c r="EB71" s="314">
        <v>0</v>
      </c>
      <c r="EC71" s="317">
        <v>0</v>
      </c>
      <c r="ED71" s="317">
        <v>0</v>
      </c>
      <c r="EE71" s="317">
        <v>0</v>
      </c>
      <c r="EF71" s="317">
        <v>0</v>
      </c>
      <c r="EG71" s="317">
        <v>0</v>
      </c>
      <c r="EH71" s="317">
        <v>0</v>
      </c>
      <c r="EI71" s="317">
        <v>0</v>
      </c>
      <c r="EJ71" s="317">
        <v>1</v>
      </c>
      <c r="EK71" s="317">
        <v>0</v>
      </c>
      <c r="EL71" s="317">
        <v>0</v>
      </c>
      <c r="EM71" s="317">
        <v>0</v>
      </c>
      <c r="EN71" s="317">
        <v>0</v>
      </c>
      <c r="EO71" s="317">
        <v>1</v>
      </c>
      <c r="EP71" s="317">
        <v>0</v>
      </c>
      <c r="EQ71" s="317">
        <v>1</v>
      </c>
      <c r="ER71" s="317">
        <v>0</v>
      </c>
      <c r="ES71" s="317">
        <v>1</v>
      </c>
      <c r="ET71" s="317">
        <v>0</v>
      </c>
    </row>
    <row r="72" spans="1:150" x14ac:dyDescent="0.25">
      <c r="A72" s="310">
        <v>8378</v>
      </c>
      <c r="B72" s="310">
        <v>2023</v>
      </c>
      <c r="C72" s="310" t="s">
        <v>10</v>
      </c>
      <c r="D72" s="310" t="s">
        <v>836</v>
      </c>
      <c r="E72" s="310">
        <v>58939</v>
      </c>
      <c r="F72" s="310" t="s">
        <v>798</v>
      </c>
      <c r="G72" s="310">
        <v>10817</v>
      </c>
      <c r="H72" s="310" t="s">
        <v>837</v>
      </c>
      <c r="I72" s="310">
        <v>57421</v>
      </c>
      <c r="J72" s="310" t="s">
        <v>748</v>
      </c>
      <c r="K72" s="310" t="s">
        <v>749</v>
      </c>
      <c r="L72" s="310" t="s">
        <v>750</v>
      </c>
      <c r="M72" s="310" t="s">
        <v>751</v>
      </c>
      <c r="N72" s="310" t="s">
        <v>752</v>
      </c>
      <c r="O72" s="310" t="s">
        <v>753</v>
      </c>
      <c r="P72" s="310"/>
      <c r="Q72" s="310" t="s">
        <v>735</v>
      </c>
      <c r="R72" s="310" t="s">
        <v>838</v>
      </c>
      <c r="S72" s="310" t="s">
        <v>839</v>
      </c>
      <c r="T72" s="310">
        <v>33.029443999999998</v>
      </c>
      <c r="U72" s="310">
        <v>-103.855833</v>
      </c>
      <c r="V72" s="310"/>
      <c r="W72" s="311">
        <v>1</v>
      </c>
      <c r="X72" s="311">
        <v>1</v>
      </c>
      <c r="Y72" s="310" t="s">
        <v>840</v>
      </c>
      <c r="Z72" s="310" t="s">
        <v>841</v>
      </c>
      <c r="AA72" s="310"/>
      <c r="AB72" s="312">
        <v>0.40126000000000001</v>
      </c>
      <c r="AC72" s="313">
        <v>5</v>
      </c>
      <c r="AD72" s="312"/>
      <c r="AE72" s="310"/>
      <c r="AF72" s="310"/>
      <c r="AG72" s="311"/>
      <c r="AH72" s="311"/>
      <c r="AI72" s="312"/>
      <c r="AJ72" s="310"/>
      <c r="AK72" s="314"/>
      <c r="AL72" s="314"/>
      <c r="AM72" s="314">
        <v>59963</v>
      </c>
      <c r="AN72" s="314">
        <v>23170</v>
      </c>
      <c r="AO72" s="314">
        <v>17575</v>
      </c>
      <c r="AP72" s="314">
        <v>6791</v>
      </c>
      <c r="AQ72" s="314"/>
      <c r="AR72" s="314"/>
      <c r="AS72" s="314"/>
      <c r="AT72" s="314"/>
      <c r="AU72" s="314"/>
      <c r="AV72" s="314"/>
      <c r="AW72" s="314"/>
      <c r="AX72" s="314"/>
      <c r="AY72" s="315"/>
      <c r="AZ72" s="315"/>
      <c r="BA72" s="315"/>
      <c r="BB72" s="315"/>
      <c r="BC72" s="315"/>
      <c r="BD72" s="315"/>
      <c r="BE72" s="315"/>
      <c r="BF72" s="315"/>
      <c r="BG72" s="315"/>
      <c r="BH72" s="315"/>
      <c r="BI72" s="315"/>
      <c r="BJ72" s="315"/>
      <c r="BK72" s="315"/>
      <c r="BL72" s="315"/>
      <c r="BM72" s="315"/>
      <c r="BN72" s="315"/>
      <c r="BO72" s="315"/>
      <c r="BP72" s="315"/>
      <c r="BQ72" s="315"/>
      <c r="BR72" s="315"/>
      <c r="BS72" s="315"/>
      <c r="BT72" s="315"/>
      <c r="BU72" s="315"/>
      <c r="BV72" s="315"/>
      <c r="BW72" s="311"/>
      <c r="BX72" s="311"/>
      <c r="BY72" s="311"/>
      <c r="BZ72" s="311"/>
      <c r="CA72" s="311"/>
      <c r="CB72" s="311"/>
      <c r="CC72" s="311"/>
      <c r="CD72" s="311"/>
      <c r="CE72" s="311"/>
      <c r="CF72" s="311"/>
      <c r="CG72" s="311"/>
      <c r="CH72" s="310">
        <v>59963</v>
      </c>
      <c r="CI72" s="310">
        <v>23170</v>
      </c>
      <c r="CJ72" s="310"/>
      <c r="CK72" s="310"/>
      <c r="CL72" s="310"/>
      <c r="CM72" s="310"/>
      <c r="CN72" s="310"/>
      <c r="CO72" s="310"/>
      <c r="CP72" s="310"/>
      <c r="CQ72" s="311" t="s">
        <v>744</v>
      </c>
      <c r="CR72" s="311" t="s">
        <v>742</v>
      </c>
      <c r="CS72" s="311" t="s">
        <v>742</v>
      </c>
      <c r="CT72" s="311"/>
      <c r="CU72" s="311"/>
      <c r="CV72" s="311"/>
      <c r="CW72" s="311"/>
      <c r="CX72" s="311"/>
      <c r="CY72" s="311"/>
      <c r="CZ72" s="311"/>
      <c r="DA72" s="311"/>
      <c r="DB72" s="311"/>
      <c r="DC72" s="311"/>
      <c r="DD72" s="311"/>
      <c r="DE72" s="316"/>
      <c r="DF72" s="314"/>
      <c r="DG72" s="314"/>
      <c r="DH72" s="314"/>
      <c r="DI72" s="314"/>
      <c r="DJ72" s="314"/>
      <c r="DK72" s="314">
        <v>0</v>
      </c>
      <c r="DL72" s="314">
        <v>0</v>
      </c>
      <c r="DM72" s="314">
        <v>0</v>
      </c>
      <c r="DN72" s="314">
        <v>0</v>
      </c>
      <c r="DO72" s="314">
        <v>0</v>
      </c>
      <c r="DP72" s="314">
        <v>0</v>
      </c>
      <c r="DQ72" s="314">
        <v>17575</v>
      </c>
      <c r="DR72" s="314">
        <v>0</v>
      </c>
      <c r="DS72" s="314">
        <v>0</v>
      </c>
      <c r="DT72" s="314">
        <v>0</v>
      </c>
      <c r="DU72" s="314">
        <v>0</v>
      </c>
      <c r="DV72" s="314">
        <v>0</v>
      </c>
      <c r="DW72" s="314">
        <v>17575</v>
      </c>
      <c r="DX72" s="314">
        <v>0</v>
      </c>
      <c r="DY72" s="314">
        <v>17575</v>
      </c>
      <c r="DZ72" s="314">
        <v>0</v>
      </c>
      <c r="EA72" s="314">
        <v>17575</v>
      </c>
      <c r="EB72" s="314">
        <v>0</v>
      </c>
      <c r="EC72" s="317">
        <v>0</v>
      </c>
      <c r="ED72" s="317">
        <v>0</v>
      </c>
      <c r="EE72" s="317">
        <v>0</v>
      </c>
      <c r="EF72" s="317">
        <v>0</v>
      </c>
      <c r="EG72" s="317">
        <v>0</v>
      </c>
      <c r="EH72" s="317">
        <v>0</v>
      </c>
      <c r="EI72" s="317">
        <v>1</v>
      </c>
      <c r="EJ72" s="317">
        <v>0</v>
      </c>
      <c r="EK72" s="317">
        <v>0</v>
      </c>
      <c r="EL72" s="317">
        <v>0</v>
      </c>
      <c r="EM72" s="317">
        <v>0</v>
      </c>
      <c r="EN72" s="317">
        <v>0</v>
      </c>
      <c r="EO72" s="317">
        <v>1</v>
      </c>
      <c r="EP72" s="317">
        <v>0</v>
      </c>
      <c r="EQ72" s="317">
        <v>1</v>
      </c>
      <c r="ER72" s="317">
        <v>0</v>
      </c>
      <c r="ES72" s="317">
        <v>1</v>
      </c>
      <c r="ET72" s="317">
        <v>0</v>
      </c>
    </row>
    <row r="73" spans="1:150" x14ac:dyDescent="0.25">
      <c r="A73" s="310">
        <v>8379</v>
      </c>
      <c r="B73" s="310">
        <v>2023</v>
      </c>
      <c r="C73" s="310" t="s">
        <v>10</v>
      </c>
      <c r="D73" s="310" t="s">
        <v>842</v>
      </c>
      <c r="E73" s="310">
        <v>58940</v>
      </c>
      <c r="F73" s="310" t="s">
        <v>798</v>
      </c>
      <c r="G73" s="310">
        <v>10817</v>
      </c>
      <c r="H73" s="310" t="s">
        <v>837</v>
      </c>
      <c r="I73" s="310">
        <v>57421</v>
      </c>
      <c r="J73" s="310" t="s">
        <v>748</v>
      </c>
      <c r="K73" s="310" t="s">
        <v>749</v>
      </c>
      <c r="L73" s="310" t="s">
        <v>750</v>
      </c>
      <c r="M73" s="310" t="s">
        <v>751</v>
      </c>
      <c r="N73" s="310" t="s">
        <v>752</v>
      </c>
      <c r="O73" s="310" t="s">
        <v>753</v>
      </c>
      <c r="P73" s="310"/>
      <c r="Q73" s="310" t="s">
        <v>735</v>
      </c>
      <c r="R73" s="310" t="s">
        <v>838</v>
      </c>
      <c r="S73" s="310" t="s">
        <v>839</v>
      </c>
      <c r="T73" s="310">
        <v>33.013888999999999</v>
      </c>
      <c r="U73" s="310">
        <v>-103.86499999999999</v>
      </c>
      <c r="V73" s="310"/>
      <c r="W73" s="311">
        <v>1</v>
      </c>
      <c r="X73" s="311">
        <v>1</v>
      </c>
      <c r="Y73" s="310" t="s">
        <v>840</v>
      </c>
      <c r="Z73" s="310" t="s">
        <v>841</v>
      </c>
      <c r="AA73" s="310"/>
      <c r="AB73" s="312">
        <v>0.40126000000000001</v>
      </c>
      <c r="AC73" s="313">
        <v>10</v>
      </c>
      <c r="AD73" s="312"/>
      <c r="AE73" s="310"/>
      <c r="AF73" s="310"/>
      <c r="AG73" s="311"/>
      <c r="AH73" s="311"/>
      <c r="AI73" s="312"/>
      <c r="AJ73" s="310"/>
      <c r="AK73" s="314"/>
      <c r="AL73" s="314"/>
      <c r="AM73" s="314">
        <v>119932</v>
      </c>
      <c r="AN73" s="314">
        <v>46336</v>
      </c>
      <c r="AO73" s="314">
        <v>35150</v>
      </c>
      <c r="AP73" s="314">
        <v>13580</v>
      </c>
      <c r="AQ73" s="314"/>
      <c r="AR73" s="314"/>
      <c r="AS73" s="314"/>
      <c r="AT73" s="314"/>
      <c r="AU73" s="314"/>
      <c r="AV73" s="314"/>
      <c r="AW73" s="314"/>
      <c r="AX73" s="314"/>
      <c r="AY73" s="315"/>
      <c r="AZ73" s="315"/>
      <c r="BA73" s="315"/>
      <c r="BB73" s="315"/>
      <c r="BC73" s="315"/>
      <c r="BD73" s="315"/>
      <c r="BE73" s="315"/>
      <c r="BF73" s="315"/>
      <c r="BG73" s="315"/>
      <c r="BH73" s="315"/>
      <c r="BI73" s="315"/>
      <c r="BJ73" s="315"/>
      <c r="BK73" s="315"/>
      <c r="BL73" s="315"/>
      <c r="BM73" s="315"/>
      <c r="BN73" s="315"/>
      <c r="BO73" s="315"/>
      <c r="BP73" s="315"/>
      <c r="BQ73" s="315"/>
      <c r="BR73" s="315"/>
      <c r="BS73" s="315"/>
      <c r="BT73" s="315"/>
      <c r="BU73" s="315"/>
      <c r="BV73" s="315"/>
      <c r="BW73" s="311"/>
      <c r="BX73" s="311"/>
      <c r="BY73" s="311"/>
      <c r="BZ73" s="311"/>
      <c r="CA73" s="311"/>
      <c r="CB73" s="311"/>
      <c r="CC73" s="311"/>
      <c r="CD73" s="311"/>
      <c r="CE73" s="311"/>
      <c r="CF73" s="311"/>
      <c r="CG73" s="311"/>
      <c r="CH73" s="310">
        <v>119932</v>
      </c>
      <c r="CI73" s="310">
        <v>46336</v>
      </c>
      <c r="CJ73" s="310"/>
      <c r="CK73" s="310"/>
      <c r="CL73" s="310"/>
      <c r="CM73" s="310"/>
      <c r="CN73" s="310"/>
      <c r="CO73" s="310"/>
      <c r="CP73" s="310"/>
      <c r="CQ73" s="311" t="s">
        <v>744</v>
      </c>
      <c r="CR73" s="311" t="s">
        <v>742</v>
      </c>
      <c r="CS73" s="311" t="s">
        <v>742</v>
      </c>
      <c r="CT73" s="311"/>
      <c r="CU73" s="311"/>
      <c r="CV73" s="311"/>
      <c r="CW73" s="311"/>
      <c r="CX73" s="311"/>
      <c r="CY73" s="311"/>
      <c r="CZ73" s="311"/>
      <c r="DA73" s="311"/>
      <c r="DB73" s="311"/>
      <c r="DC73" s="311"/>
      <c r="DD73" s="311"/>
      <c r="DE73" s="316"/>
      <c r="DF73" s="314"/>
      <c r="DG73" s="314"/>
      <c r="DH73" s="314"/>
      <c r="DI73" s="314"/>
      <c r="DJ73" s="314"/>
      <c r="DK73" s="314">
        <v>0</v>
      </c>
      <c r="DL73" s="314">
        <v>0</v>
      </c>
      <c r="DM73" s="314">
        <v>0</v>
      </c>
      <c r="DN73" s="314">
        <v>0</v>
      </c>
      <c r="DO73" s="314">
        <v>0</v>
      </c>
      <c r="DP73" s="314">
        <v>0</v>
      </c>
      <c r="DQ73" s="314">
        <v>35150</v>
      </c>
      <c r="DR73" s="314">
        <v>0</v>
      </c>
      <c r="DS73" s="314">
        <v>0</v>
      </c>
      <c r="DT73" s="314">
        <v>0</v>
      </c>
      <c r="DU73" s="314">
        <v>0</v>
      </c>
      <c r="DV73" s="314">
        <v>0</v>
      </c>
      <c r="DW73" s="314">
        <v>35150</v>
      </c>
      <c r="DX73" s="314">
        <v>0</v>
      </c>
      <c r="DY73" s="314">
        <v>35150</v>
      </c>
      <c r="DZ73" s="314">
        <v>0</v>
      </c>
      <c r="EA73" s="314">
        <v>35150</v>
      </c>
      <c r="EB73" s="314">
        <v>0</v>
      </c>
      <c r="EC73" s="317">
        <v>0</v>
      </c>
      <c r="ED73" s="317">
        <v>0</v>
      </c>
      <c r="EE73" s="317">
        <v>0</v>
      </c>
      <c r="EF73" s="317">
        <v>0</v>
      </c>
      <c r="EG73" s="317">
        <v>0</v>
      </c>
      <c r="EH73" s="317">
        <v>0</v>
      </c>
      <c r="EI73" s="317">
        <v>1</v>
      </c>
      <c r="EJ73" s="317">
        <v>0</v>
      </c>
      <c r="EK73" s="317">
        <v>0</v>
      </c>
      <c r="EL73" s="317">
        <v>0</v>
      </c>
      <c r="EM73" s="317">
        <v>0</v>
      </c>
      <c r="EN73" s="317">
        <v>0</v>
      </c>
      <c r="EO73" s="317">
        <v>1</v>
      </c>
      <c r="EP73" s="317">
        <v>0</v>
      </c>
      <c r="EQ73" s="317">
        <v>1</v>
      </c>
      <c r="ER73" s="317">
        <v>0</v>
      </c>
      <c r="ES73" s="317">
        <v>1</v>
      </c>
      <c r="ET73" s="317">
        <v>0</v>
      </c>
    </row>
    <row r="74" spans="1:150" x14ac:dyDescent="0.25">
      <c r="A74" s="310">
        <v>8380</v>
      </c>
      <c r="B74" s="310">
        <v>2023</v>
      </c>
      <c r="C74" s="310" t="s">
        <v>10</v>
      </c>
      <c r="D74" s="310" t="s">
        <v>843</v>
      </c>
      <c r="E74" s="310">
        <v>64695</v>
      </c>
      <c r="F74" s="310" t="s">
        <v>844</v>
      </c>
      <c r="G74" s="310">
        <v>10378</v>
      </c>
      <c r="H74" s="310" t="s">
        <v>845</v>
      </c>
      <c r="I74" s="310">
        <v>64273</v>
      </c>
      <c r="J74" s="310" t="s">
        <v>729</v>
      </c>
      <c r="K74" s="310" t="s">
        <v>760</v>
      </c>
      <c r="L74" s="310" t="s">
        <v>761</v>
      </c>
      <c r="M74" s="310" t="s">
        <v>732</v>
      </c>
      <c r="N74" s="310" t="s">
        <v>733</v>
      </c>
      <c r="O74" s="310" t="s">
        <v>734</v>
      </c>
      <c r="P74" s="310"/>
      <c r="Q74" s="310" t="s">
        <v>735</v>
      </c>
      <c r="R74" s="310" t="s">
        <v>846</v>
      </c>
      <c r="S74" s="310" t="s">
        <v>847</v>
      </c>
      <c r="T74" s="310">
        <v>36.416867000000003</v>
      </c>
      <c r="U74" s="310">
        <v>-105.280664</v>
      </c>
      <c r="V74" s="310"/>
      <c r="W74" s="311">
        <v>2</v>
      </c>
      <c r="X74" s="311">
        <v>2</v>
      </c>
      <c r="Y74" s="310" t="s">
        <v>826</v>
      </c>
      <c r="Z74" s="310" t="s">
        <v>827</v>
      </c>
      <c r="AA74" s="310"/>
      <c r="AB74" s="312">
        <v>8.0939999999999998E-2</v>
      </c>
      <c r="AC74" s="313">
        <v>11.2</v>
      </c>
      <c r="AD74" s="312"/>
      <c r="AE74" s="310"/>
      <c r="AF74" s="310"/>
      <c r="AG74" s="311"/>
      <c r="AH74" s="311"/>
      <c r="AI74" s="312"/>
      <c r="AJ74" s="310"/>
      <c r="AK74" s="314"/>
      <c r="AL74" s="314"/>
      <c r="AM74" s="314">
        <v>27801</v>
      </c>
      <c r="AN74" s="314">
        <v>16941</v>
      </c>
      <c r="AO74" s="314">
        <v>7941</v>
      </c>
      <c r="AP74" s="314">
        <v>4862</v>
      </c>
      <c r="AQ74" s="314"/>
      <c r="AR74" s="314"/>
      <c r="AS74" s="314"/>
      <c r="AT74" s="314"/>
      <c r="AU74" s="314"/>
      <c r="AV74" s="314"/>
      <c r="AW74" s="314"/>
      <c r="AX74" s="314"/>
      <c r="AY74" s="315"/>
      <c r="AZ74" s="315"/>
      <c r="BA74" s="315"/>
      <c r="BB74" s="315"/>
      <c r="BC74" s="315"/>
      <c r="BD74" s="315"/>
      <c r="BE74" s="315"/>
      <c r="BF74" s="315"/>
      <c r="BG74" s="315"/>
      <c r="BH74" s="315"/>
      <c r="BI74" s="315"/>
      <c r="BJ74" s="315"/>
      <c r="BK74" s="315"/>
      <c r="BL74" s="315"/>
      <c r="BM74" s="315"/>
      <c r="BN74" s="315"/>
      <c r="BO74" s="315"/>
      <c r="BP74" s="315"/>
      <c r="BQ74" s="315"/>
      <c r="BR74" s="315"/>
      <c r="BS74" s="315"/>
      <c r="BT74" s="315"/>
      <c r="BU74" s="315"/>
      <c r="BV74" s="315"/>
      <c r="BW74" s="311"/>
      <c r="BX74" s="311"/>
      <c r="BY74" s="311"/>
      <c r="BZ74" s="311"/>
      <c r="CA74" s="311"/>
      <c r="CB74" s="311"/>
      <c r="CC74" s="311"/>
      <c r="CD74" s="311"/>
      <c r="CE74" s="311"/>
      <c r="CF74" s="311"/>
      <c r="CG74" s="311"/>
      <c r="CH74" s="310">
        <v>27801</v>
      </c>
      <c r="CI74" s="310">
        <v>16941</v>
      </c>
      <c r="CJ74" s="310"/>
      <c r="CK74" s="310"/>
      <c r="CL74" s="310"/>
      <c r="CM74" s="310"/>
      <c r="CN74" s="310"/>
      <c r="CO74" s="310"/>
      <c r="CP74" s="310"/>
      <c r="CQ74" s="311" t="s">
        <v>744</v>
      </c>
      <c r="CR74" s="311" t="s">
        <v>742</v>
      </c>
      <c r="CS74" s="311" t="s">
        <v>742</v>
      </c>
      <c r="CT74" s="311"/>
      <c r="CU74" s="311"/>
      <c r="CV74" s="311"/>
      <c r="CW74" s="311"/>
      <c r="CX74" s="311"/>
      <c r="CY74" s="311"/>
      <c r="CZ74" s="311"/>
      <c r="DA74" s="311"/>
      <c r="DB74" s="311"/>
      <c r="DC74" s="311"/>
      <c r="DD74" s="311"/>
      <c r="DE74" s="316"/>
      <c r="DF74" s="314"/>
      <c r="DG74" s="314"/>
      <c r="DH74" s="314"/>
      <c r="DI74" s="314"/>
      <c r="DJ74" s="314"/>
      <c r="DK74" s="314">
        <v>0</v>
      </c>
      <c r="DL74" s="314">
        <v>0</v>
      </c>
      <c r="DM74" s="314">
        <v>0</v>
      </c>
      <c r="DN74" s="314">
        <v>0</v>
      </c>
      <c r="DO74" s="314">
        <v>0</v>
      </c>
      <c r="DP74" s="314">
        <v>0</v>
      </c>
      <c r="DQ74" s="314">
        <v>0</v>
      </c>
      <c r="DR74" s="314">
        <v>8148</v>
      </c>
      <c r="DS74" s="314">
        <v>0</v>
      </c>
      <c r="DT74" s="314">
        <v>0</v>
      </c>
      <c r="DU74" s="314">
        <v>-207</v>
      </c>
      <c r="DV74" s="314">
        <v>0</v>
      </c>
      <c r="DW74" s="314">
        <v>8148</v>
      </c>
      <c r="DX74" s="314">
        <v>-207</v>
      </c>
      <c r="DY74" s="314">
        <v>8148</v>
      </c>
      <c r="DZ74" s="314">
        <v>0</v>
      </c>
      <c r="EA74" s="314">
        <v>8148</v>
      </c>
      <c r="EB74" s="314">
        <v>-207</v>
      </c>
      <c r="EC74" s="317">
        <v>0</v>
      </c>
      <c r="ED74" s="317">
        <v>0</v>
      </c>
      <c r="EE74" s="317">
        <v>0</v>
      </c>
      <c r="EF74" s="317">
        <v>0</v>
      </c>
      <c r="EG74" s="317">
        <v>0</v>
      </c>
      <c r="EH74" s="317">
        <v>0</v>
      </c>
      <c r="EI74" s="317">
        <v>0</v>
      </c>
      <c r="EJ74" s="317">
        <v>1</v>
      </c>
      <c r="EK74" s="317">
        <v>0</v>
      </c>
      <c r="EL74" s="317">
        <v>0</v>
      </c>
      <c r="EM74" s="317">
        <v>0</v>
      </c>
      <c r="EN74" s="317">
        <v>0</v>
      </c>
      <c r="EO74" s="317">
        <v>1</v>
      </c>
      <c r="EP74" s="317">
        <v>0</v>
      </c>
      <c r="EQ74" s="317">
        <v>1</v>
      </c>
      <c r="ER74" s="317">
        <v>0</v>
      </c>
      <c r="ES74" s="317">
        <v>1</v>
      </c>
      <c r="ET74" s="317">
        <v>0</v>
      </c>
    </row>
    <row r="75" spans="1:150" x14ac:dyDescent="0.25">
      <c r="A75" s="310">
        <v>8381</v>
      </c>
      <c r="B75" s="310">
        <v>2023</v>
      </c>
      <c r="C75" s="310" t="s">
        <v>10</v>
      </c>
      <c r="D75" s="310" t="s">
        <v>848</v>
      </c>
      <c r="E75" s="310">
        <v>56336</v>
      </c>
      <c r="F75" s="310" t="s">
        <v>759</v>
      </c>
      <c r="G75" s="310">
        <v>15473</v>
      </c>
      <c r="H75" s="310" t="s">
        <v>849</v>
      </c>
      <c r="I75" s="310">
        <v>50123</v>
      </c>
      <c r="J75" s="310" t="s">
        <v>748</v>
      </c>
      <c r="K75" s="310" t="s">
        <v>760</v>
      </c>
      <c r="L75" s="310" t="s">
        <v>761</v>
      </c>
      <c r="M75" s="310" t="s">
        <v>732</v>
      </c>
      <c r="N75" s="310" t="s">
        <v>733</v>
      </c>
      <c r="O75" s="310" t="s">
        <v>734</v>
      </c>
      <c r="P75" s="310"/>
      <c r="Q75" s="310" t="s">
        <v>735</v>
      </c>
      <c r="R75" s="310" t="s">
        <v>850</v>
      </c>
      <c r="S75" s="310" t="s">
        <v>851</v>
      </c>
      <c r="T75" s="310">
        <v>34.814700000000002</v>
      </c>
      <c r="U75" s="310">
        <v>-105.0108</v>
      </c>
      <c r="V75" s="310"/>
      <c r="W75" s="311">
        <v>2</v>
      </c>
      <c r="X75" s="311">
        <v>2</v>
      </c>
      <c r="Y75" s="310" t="s">
        <v>840</v>
      </c>
      <c r="Z75" s="310" t="s">
        <v>841</v>
      </c>
      <c r="AA75" s="310"/>
      <c r="AB75" s="312">
        <v>0.38699</v>
      </c>
      <c r="AC75" s="313">
        <v>235</v>
      </c>
      <c r="AD75" s="312"/>
      <c r="AE75" s="310"/>
      <c r="AF75" s="310"/>
      <c r="AG75" s="311"/>
      <c r="AH75" s="311"/>
      <c r="AI75" s="312"/>
      <c r="AJ75" s="310"/>
      <c r="AK75" s="314"/>
      <c r="AL75" s="314"/>
      <c r="AM75" s="314">
        <v>2718185</v>
      </c>
      <c r="AN75" s="314">
        <v>923785</v>
      </c>
      <c r="AO75" s="314">
        <v>796655</v>
      </c>
      <c r="AP75" s="314">
        <v>270746</v>
      </c>
      <c r="AQ75" s="314"/>
      <c r="AR75" s="314"/>
      <c r="AS75" s="314"/>
      <c r="AT75" s="314"/>
      <c r="AU75" s="314"/>
      <c r="AV75" s="314"/>
      <c r="AW75" s="314"/>
      <c r="AX75" s="314"/>
      <c r="AY75" s="315"/>
      <c r="AZ75" s="315"/>
      <c r="BA75" s="315"/>
      <c r="BB75" s="315"/>
      <c r="BC75" s="315"/>
      <c r="BD75" s="315"/>
      <c r="BE75" s="315"/>
      <c r="BF75" s="315"/>
      <c r="BG75" s="315"/>
      <c r="BH75" s="315"/>
      <c r="BI75" s="315"/>
      <c r="BJ75" s="315"/>
      <c r="BK75" s="315"/>
      <c r="BL75" s="315"/>
      <c r="BM75" s="315"/>
      <c r="BN75" s="315"/>
      <c r="BO75" s="315"/>
      <c r="BP75" s="315"/>
      <c r="BQ75" s="315"/>
      <c r="BR75" s="315"/>
      <c r="BS75" s="315"/>
      <c r="BT75" s="315"/>
      <c r="BU75" s="315"/>
      <c r="BV75" s="315"/>
      <c r="BW75" s="311"/>
      <c r="BX75" s="311"/>
      <c r="BY75" s="311"/>
      <c r="BZ75" s="311"/>
      <c r="CA75" s="311"/>
      <c r="CB75" s="311"/>
      <c r="CC75" s="311"/>
      <c r="CD75" s="311"/>
      <c r="CE75" s="311"/>
      <c r="CF75" s="311"/>
      <c r="CG75" s="311"/>
      <c r="CH75" s="310">
        <v>2718185</v>
      </c>
      <c r="CI75" s="310">
        <v>923785</v>
      </c>
      <c r="CJ75" s="310"/>
      <c r="CK75" s="310"/>
      <c r="CL75" s="310"/>
      <c r="CM75" s="310"/>
      <c r="CN75" s="310"/>
      <c r="CO75" s="310"/>
      <c r="CP75" s="310"/>
      <c r="CQ75" s="311" t="s">
        <v>744</v>
      </c>
      <c r="CR75" s="311" t="s">
        <v>742</v>
      </c>
      <c r="CS75" s="311" t="s">
        <v>742</v>
      </c>
      <c r="CT75" s="311"/>
      <c r="CU75" s="311"/>
      <c r="CV75" s="311"/>
      <c r="CW75" s="311"/>
      <c r="CX75" s="311"/>
      <c r="CY75" s="311"/>
      <c r="CZ75" s="311"/>
      <c r="DA75" s="311"/>
      <c r="DB75" s="311"/>
      <c r="DC75" s="311"/>
      <c r="DD75" s="311"/>
      <c r="DE75" s="316"/>
      <c r="DF75" s="314"/>
      <c r="DG75" s="314"/>
      <c r="DH75" s="314"/>
      <c r="DI75" s="314"/>
      <c r="DJ75" s="314"/>
      <c r="DK75" s="314">
        <v>0</v>
      </c>
      <c r="DL75" s="314">
        <v>0</v>
      </c>
      <c r="DM75" s="314">
        <v>0</v>
      </c>
      <c r="DN75" s="314">
        <v>0</v>
      </c>
      <c r="DO75" s="314">
        <v>0</v>
      </c>
      <c r="DP75" s="314">
        <v>0</v>
      </c>
      <c r="DQ75" s="314">
        <v>796655</v>
      </c>
      <c r="DR75" s="314">
        <v>0</v>
      </c>
      <c r="DS75" s="314">
        <v>0</v>
      </c>
      <c r="DT75" s="314">
        <v>0</v>
      </c>
      <c r="DU75" s="314">
        <v>0</v>
      </c>
      <c r="DV75" s="314">
        <v>0</v>
      </c>
      <c r="DW75" s="314">
        <v>796655</v>
      </c>
      <c r="DX75" s="314">
        <v>0</v>
      </c>
      <c r="DY75" s="314">
        <v>796655</v>
      </c>
      <c r="DZ75" s="314">
        <v>0</v>
      </c>
      <c r="EA75" s="314">
        <v>796655</v>
      </c>
      <c r="EB75" s="314">
        <v>0</v>
      </c>
      <c r="EC75" s="317">
        <v>0</v>
      </c>
      <c r="ED75" s="317">
        <v>0</v>
      </c>
      <c r="EE75" s="317">
        <v>0</v>
      </c>
      <c r="EF75" s="317">
        <v>0</v>
      </c>
      <c r="EG75" s="317">
        <v>0</v>
      </c>
      <c r="EH75" s="317">
        <v>0</v>
      </c>
      <c r="EI75" s="317">
        <v>1</v>
      </c>
      <c r="EJ75" s="317">
        <v>0</v>
      </c>
      <c r="EK75" s="317">
        <v>0</v>
      </c>
      <c r="EL75" s="317">
        <v>0</v>
      </c>
      <c r="EM75" s="317">
        <v>0</v>
      </c>
      <c r="EN75" s="317">
        <v>0</v>
      </c>
      <c r="EO75" s="317">
        <v>1</v>
      </c>
      <c r="EP75" s="317">
        <v>0</v>
      </c>
      <c r="EQ75" s="317">
        <v>1</v>
      </c>
      <c r="ER75" s="317">
        <v>0</v>
      </c>
      <c r="ES75" s="317">
        <v>1</v>
      </c>
      <c r="ET75" s="317">
        <v>0</v>
      </c>
    </row>
    <row r="76" spans="1:150" x14ac:dyDescent="0.25">
      <c r="A76" s="310">
        <v>8382</v>
      </c>
      <c r="B76" s="310">
        <v>2023</v>
      </c>
      <c r="C76" s="310" t="s">
        <v>10</v>
      </c>
      <c r="D76" s="310" t="s">
        <v>852</v>
      </c>
      <c r="E76" s="310">
        <v>63172</v>
      </c>
      <c r="F76" s="310" t="s">
        <v>759</v>
      </c>
      <c r="G76" s="310">
        <v>15473</v>
      </c>
      <c r="H76" s="310" t="s">
        <v>853</v>
      </c>
      <c r="I76" s="310">
        <v>62921</v>
      </c>
      <c r="J76" s="310" t="s">
        <v>748</v>
      </c>
      <c r="K76" s="310" t="s">
        <v>760</v>
      </c>
      <c r="L76" s="310" t="s">
        <v>761</v>
      </c>
      <c r="M76" s="310" t="s">
        <v>732</v>
      </c>
      <c r="N76" s="310" t="s">
        <v>733</v>
      </c>
      <c r="O76" s="310" t="s">
        <v>734</v>
      </c>
      <c r="P76" s="310"/>
      <c r="Q76" s="310" t="s">
        <v>735</v>
      </c>
      <c r="R76" s="310" t="s">
        <v>854</v>
      </c>
      <c r="S76" s="310" t="s">
        <v>855</v>
      </c>
      <c r="T76" s="310">
        <v>35.970348999999999</v>
      </c>
      <c r="U76" s="310">
        <v>-107.563075</v>
      </c>
      <c r="V76" s="310"/>
      <c r="W76" s="311">
        <v>1</v>
      </c>
      <c r="X76" s="311">
        <v>1</v>
      </c>
      <c r="Y76" s="310" t="s">
        <v>856</v>
      </c>
      <c r="Z76" s="310" t="s">
        <v>857</v>
      </c>
      <c r="AA76" s="310"/>
      <c r="AB76" s="312">
        <v>0</v>
      </c>
      <c r="AC76" s="313">
        <v>150</v>
      </c>
      <c r="AD76" s="312"/>
      <c r="AE76" s="310"/>
      <c r="AF76" s="310"/>
      <c r="AG76" s="311"/>
      <c r="AH76" s="311"/>
      <c r="AI76" s="312"/>
      <c r="AJ76" s="310"/>
      <c r="AK76" s="314"/>
      <c r="AL76" s="314"/>
      <c r="AM76" s="314"/>
      <c r="AN76" s="314"/>
      <c r="AO76" s="314">
        <v>149260</v>
      </c>
      <c r="AP76" s="314">
        <v>-4656</v>
      </c>
      <c r="AQ76" s="314"/>
      <c r="AR76" s="314"/>
      <c r="AS76" s="314"/>
      <c r="AT76" s="314"/>
      <c r="AU76" s="314"/>
      <c r="AV76" s="314"/>
      <c r="AW76" s="314"/>
      <c r="AX76" s="314"/>
      <c r="AY76" s="315"/>
      <c r="AZ76" s="315"/>
      <c r="BA76" s="315"/>
      <c r="BB76" s="315"/>
      <c r="BC76" s="315"/>
      <c r="BD76" s="315"/>
      <c r="BE76" s="315"/>
      <c r="BF76" s="315"/>
      <c r="BG76" s="315"/>
      <c r="BH76" s="315"/>
      <c r="BI76" s="315"/>
      <c r="BJ76" s="315"/>
      <c r="BK76" s="315"/>
      <c r="BL76" s="315"/>
      <c r="BM76" s="315"/>
      <c r="BN76" s="315"/>
      <c r="BO76" s="315"/>
      <c r="BP76" s="315"/>
      <c r="BQ76" s="315"/>
      <c r="BR76" s="315"/>
      <c r="BS76" s="315"/>
      <c r="BT76" s="315"/>
      <c r="BU76" s="315"/>
      <c r="BV76" s="315"/>
      <c r="BW76" s="311"/>
      <c r="BX76" s="311"/>
      <c r="BY76" s="311"/>
      <c r="BZ76" s="311"/>
      <c r="CA76" s="311"/>
      <c r="CB76" s="311"/>
      <c r="CC76" s="311"/>
      <c r="CD76" s="311"/>
      <c r="CE76" s="311"/>
      <c r="CF76" s="311"/>
      <c r="CG76" s="311"/>
      <c r="CH76" s="310"/>
      <c r="CI76" s="310"/>
      <c r="CJ76" s="310"/>
      <c r="CK76" s="310"/>
      <c r="CL76" s="310"/>
      <c r="CM76" s="310"/>
      <c r="CN76" s="310"/>
      <c r="CO76" s="310"/>
      <c r="CP76" s="310"/>
      <c r="CQ76" s="311" t="s">
        <v>744</v>
      </c>
      <c r="CR76" s="311"/>
      <c r="CS76" s="311"/>
      <c r="CT76" s="311"/>
      <c r="CU76" s="311"/>
      <c r="CV76" s="311"/>
      <c r="CW76" s="311"/>
      <c r="CX76" s="311"/>
      <c r="CY76" s="311"/>
      <c r="CZ76" s="311"/>
      <c r="DA76" s="311"/>
      <c r="DB76" s="311"/>
      <c r="DC76" s="311"/>
      <c r="DD76" s="311"/>
      <c r="DE76" s="316"/>
      <c r="DF76" s="314"/>
      <c r="DG76" s="314"/>
      <c r="DH76" s="314"/>
      <c r="DI76" s="314"/>
      <c r="DJ76" s="314"/>
      <c r="DK76" s="314">
        <v>0</v>
      </c>
      <c r="DL76" s="314">
        <v>0</v>
      </c>
      <c r="DM76" s="314">
        <v>0</v>
      </c>
      <c r="DN76" s="314">
        <v>0</v>
      </c>
      <c r="DO76" s="314">
        <v>0</v>
      </c>
      <c r="DP76" s="314">
        <v>0</v>
      </c>
      <c r="DQ76" s="314">
        <v>0</v>
      </c>
      <c r="DR76" s="314">
        <v>158928</v>
      </c>
      <c r="DS76" s="314">
        <v>0</v>
      </c>
      <c r="DT76" s="314">
        <v>0</v>
      </c>
      <c r="DU76" s="314">
        <v>-9668</v>
      </c>
      <c r="DV76" s="314">
        <v>0</v>
      </c>
      <c r="DW76" s="314">
        <v>158928</v>
      </c>
      <c r="DX76" s="314">
        <v>-9668</v>
      </c>
      <c r="DY76" s="314">
        <v>158928</v>
      </c>
      <c r="DZ76" s="314">
        <v>0</v>
      </c>
      <c r="EA76" s="314">
        <v>158928</v>
      </c>
      <c r="EB76" s="314">
        <v>-9668</v>
      </c>
      <c r="EC76" s="317">
        <v>0</v>
      </c>
      <c r="ED76" s="317">
        <v>0</v>
      </c>
      <c r="EE76" s="317">
        <v>0</v>
      </c>
      <c r="EF76" s="317">
        <v>0</v>
      </c>
      <c r="EG76" s="317">
        <v>0</v>
      </c>
      <c r="EH76" s="317">
        <v>0</v>
      </c>
      <c r="EI76" s="317">
        <v>0</v>
      </c>
      <c r="EJ76" s="317">
        <v>1</v>
      </c>
      <c r="EK76" s="317">
        <v>0</v>
      </c>
      <c r="EL76" s="317">
        <v>0</v>
      </c>
      <c r="EM76" s="317">
        <v>0</v>
      </c>
      <c r="EN76" s="317">
        <v>0</v>
      </c>
      <c r="EO76" s="317">
        <v>1</v>
      </c>
      <c r="EP76" s="317">
        <v>0</v>
      </c>
      <c r="EQ76" s="317">
        <v>1</v>
      </c>
      <c r="ER76" s="317">
        <v>0</v>
      </c>
      <c r="ES76" s="317">
        <v>1</v>
      </c>
      <c r="ET76" s="317">
        <v>0</v>
      </c>
    </row>
    <row r="77" spans="1:150" x14ac:dyDescent="0.25">
      <c r="A77" s="310">
        <v>8383</v>
      </c>
      <c r="B77" s="310">
        <v>2023</v>
      </c>
      <c r="C77" s="310" t="s">
        <v>10</v>
      </c>
      <c r="D77" s="310" t="s">
        <v>858</v>
      </c>
      <c r="E77" s="310">
        <v>58689</v>
      </c>
      <c r="F77" s="310" t="s">
        <v>844</v>
      </c>
      <c r="G77" s="310">
        <v>10378</v>
      </c>
      <c r="H77" s="310" t="s">
        <v>859</v>
      </c>
      <c r="I77" s="310">
        <v>58621</v>
      </c>
      <c r="J77" s="310" t="s">
        <v>748</v>
      </c>
      <c r="K77" s="310" t="s">
        <v>760</v>
      </c>
      <c r="L77" s="310" t="s">
        <v>761</v>
      </c>
      <c r="M77" s="310" t="s">
        <v>732</v>
      </c>
      <c r="N77" s="310" t="s">
        <v>733</v>
      </c>
      <c r="O77" s="310" t="s">
        <v>734</v>
      </c>
      <c r="P77" s="310"/>
      <c r="Q77" s="310" t="s">
        <v>735</v>
      </c>
      <c r="R77" s="310" t="s">
        <v>860</v>
      </c>
      <c r="S77" s="310" t="s">
        <v>861</v>
      </c>
      <c r="T77" s="310">
        <v>36.907778</v>
      </c>
      <c r="U77" s="310">
        <v>-105.98527799999999</v>
      </c>
      <c r="V77" s="310"/>
      <c r="W77" s="311">
        <v>1</v>
      </c>
      <c r="X77" s="311">
        <v>1</v>
      </c>
      <c r="Y77" s="310" t="s">
        <v>826</v>
      </c>
      <c r="Z77" s="310" t="s">
        <v>827</v>
      </c>
      <c r="AA77" s="310"/>
      <c r="AB77" s="312">
        <v>0.27178000000000002</v>
      </c>
      <c r="AC77" s="313">
        <v>1.3</v>
      </c>
      <c r="AD77" s="312"/>
      <c r="AE77" s="310"/>
      <c r="AF77" s="310"/>
      <c r="AG77" s="311"/>
      <c r="AH77" s="311"/>
      <c r="AI77" s="312"/>
      <c r="AJ77" s="310"/>
      <c r="AK77" s="314"/>
      <c r="AL77" s="314"/>
      <c r="AM77" s="314">
        <v>10560</v>
      </c>
      <c r="AN77" s="314">
        <v>5415</v>
      </c>
      <c r="AO77" s="314">
        <v>3095</v>
      </c>
      <c r="AP77" s="314">
        <v>1587</v>
      </c>
      <c r="AQ77" s="314"/>
      <c r="AR77" s="314"/>
      <c r="AS77" s="314"/>
      <c r="AT77" s="314"/>
      <c r="AU77" s="314"/>
      <c r="AV77" s="314"/>
      <c r="AW77" s="314"/>
      <c r="AX77" s="314"/>
      <c r="AY77" s="315"/>
      <c r="AZ77" s="315"/>
      <c r="BA77" s="315"/>
      <c r="BB77" s="315"/>
      <c r="BC77" s="315"/>
      <c r="BD77" s="315"/>
      <c r="BE77" s="315"/>
      <c r="BF77" s="315"/>
      <c r="BG77" s="315"/>
      <c r="BH77" s="315"/>
      <c r="BI77" s="315"/>
      <c r="BJ77" s="315"/>
      <c r="BK77" s="315"/>
      <c r="BL77" s="315"/>
      <c r="BM77" s="315"/>
      <c r="BN77" s="315"/>
      <c r="BO77" s="315"/>
      <c r="BP77" s="315"/>
      <c r="BQ77" s="315"/>
      <c r="BR77" s="315"/>
      <c r="BS77" s="315"/>
      <c r="BT77" s="315"/>
      <c r="BU77" s="315"/>
      <c r="BV77" s="315"/>
      <c r="BW77" s="311"/>
      <c r="BX77" s="311"/>
      <c r="BY77" s="311"/>
      <c r="BZ77" s="311"/>
      <c r="CA77" s="311"/>
      <c r="CB77" s="311"/>
      <c r="CC77" s="311"/>
      <c r="CD77" s="311"/>
      <c r="CE77" s="311"/>
      <c r="CF77" s="311"/>
      <c r="CG77" s="311"/>
      <c r="CH77" s="310">
        <v>10560</v>
      </c>
      <c r="CI77" s="310">
        <v>5415</v>
      </c>
      <c r="CJ77" s="310"/>
      <c r="CK77" s="310"/>
      <c r="CL77" s="310"/>
      <c r="CM77" s="310"/>
      <c r="CN77" s="310"/>
      <c r="CO77" s="310"/>
      <c r="CP77" s="310"/>
      <c r="CQ77" s="311" t="s">
        <v>744</v>
      </c>
      <c r="CR77" s="311" t="s">
        <v>742</v>
      </c>
      <c r="CS77" s="311" t="s">
        <v>742</v>
      </c>
      <c r="CT77" s="311"/>
      <c r="CU77" s="311"/>
      <c r="CV77" s="311"/>
      <c r="CW77" s="311"/>
      <c r="CX77" s="311"/>
      <c r="CY77" s="311"/>
      <c r="CZ77" s="311"/>
      <c r="DA77" s="311"/>
      <c r="DB77" s="311"/>
      <c r="DC77" s="311"/>
      <c r="DD77" s="311"/>
      <c r="DE77" s="316"/>
      <c r="DF77" s="314"/>
      <c r="DG77" s="314"/>
      <c r="DH77" s="314"/>
      <c r="DI77" s="314"/>
      <c r="DJ77" s="314"/>
      <c r="DK77" s="314">
        <v>0</v>
      </c>
      <c r="DL77" s="314">
        <v>0</v>
      </c>
      <c r="DM77" s="314">
        <v>0</v>
      </c>
      <c r="DN77" s="314">
        <v>0</v>
      </c>
      <c r="DO77" s="314">
        <v>0</v>
      </c>
      <c r="DP77" s="314">
        <v>0</v>
      </c>
      <c r="DQ77" s="314">
        <v>0</v>
      </c>
      <c r="DR77" s="314">
        <v>3095</v>
      </c>
      <c r="DS77" s="314">
        <v>0</v>
      </c>
      <c r="DT77" s="314">
        <v>0</v>
      </c>
      <c r="DU77" s="314">
        <v>0</v>
      </c>
      <c r="DV77" s="314">
        <v>0</v>
      </c>
      <c r="DW77" s="314">
        <v>3095</v>
      </c>
      <c r="DX77" s="314">
        <v>0</v>
      </c>
      <c r="DY77" s="314">
        <v>3095</v>
      </c>
      <c r="DZ77" s="314">
        <v>0</v>
      </c>
      <c r="EA77" s="314">
        <v>3095</v>
      </c>
      <c r="EB77" s="314">
        <v>0</v>
      </c>
      <c r="EC77" s="317">
        <v>0</v>
      </c>
      <c r="ED77" s="317">
        <v>0</v>
      </c>
      <c r="EE77" s="317">
        <v>0</v>
      </c>
      <c r="EF77" s="317">
        <v>0</v>
      </c>
      <c r="EG77" s="317">
        <v>0</v>
      </c>
      <c r="EH77" s="317">
        <v>0</v>
      </c>
      <c r="EI77" s="317">
        <v>0</v>
      </c>
      <c r="EJ77" s="317">
        <v>1</v>
      </c>
      <c r="EK77" s="317">
        <v>0</v>
      </c>
      <c r="EL77" s="317">
        <v>0</v>
      </c>
      <c r="EM77" s="317">
        <v>0</v>
      </c>
      <c r="EN77" s="317">
        <v>0</v>
      </c>
      <c r="EO77" s="317">
        <v>1</v>
      </c>
      <c r="EP77" s="317">
        <v>0</v>
      </c>
      <c r="EQ77" s="317">
        <v>1</v>
      </c>
      <c r="ER77" s="317">
        <v>0</v>
      </c>
      <c r="ES77" s="317">
        <v>1</v>
      </c>
      <c r="ET77" s="317">
        <v>0</v>
      </c>
    </row>
    <row r="78" spans="1:150" x14ac:dyDescent="0.25">
      <c r="A78" s="310">
        <v>8384</v>
      </c>
      <c r="B78" s="310">
        <v>2023</v>
      </c>
      <c r="C78" s="310" t="s">
        <v>10</v>
      </c>
      <c r="D78" s="310" t="s">
        <v>862</v>
      </c>
      <c r="E78" s="310">
        <v>62994</v>
      </c>
      <c r="F78" s="310" t="s">
        <v>863</v>
      </c>
      <c r="G78" s="310">
        <v>4265</v>
      </c>
      <c r="H78" s="310" t="s">
        <v>864</v>
      </c>
      <c r="I78" s="310">
        <v>62842</v>
      </c>
      <c r="J78" s="310" t="s">
        <v>748</v>
      </c>
      <c r="K78" s="310" t="s">
        <v>760</v>
      </c>
      <c r="L78" s="310" t="s">
        <v>761</v>
      </c>
      <c r="M78" s="310" t="s">
        <v>732</v>
      </c>
      <c r="N78" s="310" t="s">
        <v>733</v>
      </c>
      <c r="O78" s="310" t="s">
        <v>734</v>
      </c>
      <c r="P78" s="310"/>
      <c r="Q78" s="310" t="s">
        <v>735</v>
      </c>
      <c r="R78" s="310" t="s">
        <v>865</v>
      </c>
      <c r="S78" s="310" t="s">
        <v>866</v>
      </c>
      <c r="T78" s="310">
        <v>35.241019999999999</v>
      </c>
      <c r="U78" s="310">
        <v>-107.952296</v>
      </c>
      <c r="V78" s="310"/>
      <c r="W78" s="311">
        <v>1</v>
      </c>
      <c r="X78" s="311">
        <v>1</v>
      </c>
      <c r="Y78" s="310" t="s">
        <v>826</v>
      </c>
      <c r="Z78" s="310" t="s">
        <v>827</v>
      </c>
      <c r="AA78" s="310"/>
      <c r="AB78" s="312">
        <v>0.32106000000000001</v>
      </c>
      <c r="AC78" s="313">
        <v>2.4</v>
      </c>
      <c r="AD78" s="312"/>
      <c r="AE78" s="310"/>
      <c r="AF78" s="310"/>
      <c r="AG78" s="311"/>
      <c r="AH78" s="311"/>
      <c r="AI78" s="312"/>
      <c r="AJ78" s="310"/>
      <c r="AK78" s="314"/>
      <c r="AL78" s="314"/>
      <c r="AM78" s="314">
        <v>23031</v>
      </c>
      <c r="AN78" s="314">
        <v>11365</v>
      </c>
      <c r="AO78" s="314">
        <v>6750</v>
      </c>
      <c r="AP78" s="314">
        <v>3331</v>
      </c>
      <c r="AQ78" s="314"/>
      <c r="AR78" s="314"/>
      <c r="AS78" s="314"/>
      <c r="AT78" s="314"/>
      <c r="AU78" s="314"/>
      <c r="AV78" s="314"/>
      <c r="AW78" s="314"/>
      <c r="AX78" s="314"/>
      <c r="AY78" s="315"/>
      <c r="AZ78" s="315"/>
      <c r="BA78" s="315"/>
      <c r="BB78" s="315"/>
      <c r="BC78" s="315"/>
      <c r="BD78" s="315"/>
      <c r="BE78" s="315"/>
      <c r="BF78" s="315"/>
      <c r="BG78" s="315"/>
      <c r="BH78" s="315"/>
      <c r="BI78" s="315"/>
      <c r="BJ78" s="315"/>
      <c r="BK78" s="315"/>
      <c r="BL78" s="315"/>
      <c r="BM78" s="315"/>
      <c r="BN78" s="315"/>
      <c r="BO78" s="315"/>
      <c r="BP78" s="315"/>
      <c r="BQ78" s="315"/>
      <c r="BR78" s="315"/>
      <c r="BS78" s="315"/>
      <c r="BT78" s="315"/>
      <c r="BU78" s="315"/>
      <c r="BV78" s="315"/>
      <c r="BW78" s="311"/>
      <c r="BX78" s="311"/>
      <c r="BY78" s="311"/>
      <c r="BZ78" s="311"/>
      <c r="CA78" s="311"/>
      <c r="CB78" s="311"/>
      <c r="CC78" s="311"/>
      <c r="CD78" s="311"/>
      <c r="CE78" s="311"/>
      <c r="CF78" s="311"/>
      <c r="CG78" s="311"/>
      <c r="CH78" s="310">
        <v>23031</v>
      </c>
      <c r="CI78" s="310">
        <v>11365</v>
      </c>
      <c r="CJ78" s="310"/>
      <c r="CK78" s="310"/>
      <c r="CL78" s="310"/>
      <c r="CM78" s="310"/>
      <c r="CN78" s="310"/>
      <c r="CO78" s="310"/>
      <c r="CP78" s="310"/>
      <c r="CQ78" s="311" t="s">
        <v>744</v>
      </c>
      <c r="CR78" s="311" t="s">
        <v>742</v>
      </c>
      <c r="CS78" s="311" t="s">
        <v>742</v>
      </c>
      <c r="CT78" s="311"/>
      <c r="CU78" s="311"/>
      <c r="CV78" s="311"/>
      <c r="CW78" s="311"/>
      <c r="CX78" s="311"/>
      <c r="CY78" s="311"/>
      <c r="CZ78" s="311"/>
      <c r="DA78" s="311"/>
      <c r="DB78" s="311"/>
      <c r="DC78" s="311"/>
      <c r="DD78" s="311"/>
      <c r="DE78" s="316"/>
      <c r="DF78" s="314"/>
      <c r="DG78" s="314"/>
      <c r="DH78" s="314"/>
      <c r="DI78" s="314"/>
      <c r="DJ78" s="314"/>
      <c r="DK78" s="314">
        <v>0</v>
      </c>
      <c r="DL78" s="314">
        <v>0</v>
      </c>
      <c r="DM78" s="314">
        <v>0</v>
      </c>
      <c r="DN78" s="314">
        <v>0</v>
      </c>
      <c r="DO78" s="314">
        <v>0</v>
      </c>
      <c r="DP78" s="314">
        <v>0</v>
      </c>
      <c r="DQ78" s="314">
        <v>0</v>
      </c>
      <c r="DR78" s="314">
        <v>6750</v>
      </c>
      <c r="DS78" s="314">
        <v>0</v>
      </c>
      <c r="DT78" s="314">
        <v>0</v>
      </c>
      <c r="DU78" s="314">
        <v>0</v>
      </c>
      <c r="DV78" s="314">
        <v>0</v>
      </c>
      <c r="DW78" s="314">
        <v>6750</v>
      </c>
      <c r="DX78" s="314">
        <v>0</v>
      </c>
      <c r="DY78" s="314">
        <v>6750</v>
      </c>
      <c r="DZ78" s="314">
        <v>0</v>
      </c>
      <c r="EA78" s="314">
        <v>6750</v>
      </c>
      <c r="EB78" s="314">
        <v>0</v>
      </c>
      <c r="EC78" s="317">
        <v>0</v>
      </c>
      <c r="ED78" s="317">
        <v>0</v>
      </c>
      <c r="EE78" s="317">
        <v>0</v>
      </c>
      <c r="EF78" s="317">
        <v>0</v>
      </c>
      <c r="EG78" s="317">
        <v>0</v>
      </c>
      <c r="EH78" s="317">
        <v>0</v>
      </c>
      <c r="EI78" s="317">
        <v>0</v>
      </c>
      <c r="EJ78" s="317">
        <v>1</v>
      </c>
      <c r="EK78" s="317">
        <v>0</v>
      </c>
      <c r="EL78" s="317">
        <v>0</v>
      </c>
      <c r="EM78" s="317">
        <v>0</v>
      </c>
      <c r="EN78" s="317">
        <v>0</v>
      </c>
      <c r="EO78" s="317">
        <v>1</v>
      </c>
      <c r="EP78" s="317">
        <v>0</v>
      </c>
      <c r="EQ78" s="317">
        <v>1</v>
      </c>
      <c r="ER78" s="317">
        <v>0</v>
      </c>
      <c r="ES78" s="317">
        <v>1</v>
      </c>
      <c r="ET78" s="317">
        <v>0</v>
      </c>
    </row>
    <row r="79" spans="1:150" x14ac:dyDescent="0.25">
      <c r="A79" s="310">
        <v>8386</v>
      </c>
      <c r="B79" s="310">
        <v>2023</v>
      </c>
      <c r="C79" s="310" t="s">
        <v>10</v>
      </c>
      <c r="D79" s="310" t="s">
        <v>867</v>
      </c>
      <c r="E79" s="310">
        <v>64638</v>
      </c>
      <c r="F79" s="310" t="s">
        <v>759</v>
      </c>
      <c r="G79" s="310">
        <v>15473</v>
      </c>
      <c r="H79" s="310" t="s">
        <v>867</v>
      </c>
      <c r="I79" s="310">
        <v>64250</v>
      </c>
      <c r="J79" s="310" t="s">
        <v>748</v>
      </c>
      <c r="K79" s="310" t="s">
        <v>868</v>
      </c>
      <c r="L79" s="310" t="s">
        <v>869</v>
      </c>
      <c r="M79" s="310" t="s">
        <v>732</v>
      </c>
      <c r="N79" s="310" t="s">
        <v>733</v>
      </c>
      <c r="O79" s="310" t="s">
        <v>734</v>
      </c>
      <c r="P79" s="310"/>
      <c r="Q79" s="310" t="s">
        <v>735</v>
      </c>
      <c r="R79" s="310" t="s">
        <v>870</v>
      </c>
      <c r="S79" s="310" t="s">
        <v>871</v>
      </c>
      <c r="T79" s="310">
        <v>34.159841999999998</v>
      </c>
      <c r="U79" s="310">
        <v>-108.894458</v>
      </c>
      <c r="V79" s="310"/>
      <c r="W79" s="311">
        <v>1</v>
      </c>
      <c r="X79" s="311">
        <v>1</v>
      </c>
      <c r="Y79" s="310" t="s">
        <v>840</v>
      </c>
      <c r="Z79" s="310" t="s">
        <v>841</v>
      </c>
      <c r="AA79" s="310"/>
      <c r="AB79" s="312">
        <v>0.31780000000000003</v>
      </c>
      <c r="AC79" s="313">
        <v>100</v>
      </c>
      <c r="AD79" s="312"/>
      <c r="AE79" s="310"/>
      <c r="AF79" s="310"/>
      <c r="AG79" s="311"/>
      <c r="AH79" s="311"/>
      <c r="AI79" s="312"/>
      <c r="AJ79" s="310"/>
      <c r="AK79" s="314"/>
      <c r="AL79" s="314"/>
      <c r="AM79" s="314">
        <v>949873</v>
      </c>
      <c r="AN79" s="314">
        <v>311306</v>
      </c>
      <c r="AO79" s="314">
        <v>278392</v>
      </c>
      <c r="AP79" s="314">
        <v>91239</v>
      </c>
      <c r="AQ79" s="314"/>
      <c r="AR79" s="314"/>
      <c r="AS79" s="314"/>
      <c r="AT79" s="314"/>
      <c r="AU79" s="314"/>
      <c r="AV79" s="314"/>
      <c r="AW79" s="314"/>
      <c r="AX79" s="314"/>
      <c r="AY79" s="315"/>
      <c r="AZ79" s="315"/>
      <c r="BA79" s="315"/>
      <c r="BB79" s="315"/>
      <c r="BC79" s="315"/>
      <c r="BD79" s="315"/>
      <c r="BE79" s="315"/>
      <c r="BF79" s="315"/>
      <c r="BG79" s="315"/>
      <c r="BH79" s="315"/>
      <c r="BI79" s="315"/>
      <c r="BJ79" s="315"/>
      <c r="BK79" s="315"/>
      <c r="BL79" s="315"/>
      <c r="BM79" s="315"/>
      <c r="BN79" s="315"/>
      <c r="BO79" s="315"/>
      <c r="BP79" s="315"/>
      <c r="BQ79" s="315"/>
      <c r="BR79" s="315"/>
      <c r="BS79" s="315"/>
      <c r="BT79" s="315"/>
      <c r="BU79" s="315"/>
      <c r="BV79" s="315"/>
      <c r="BW79" s="311"/>
      <c r="BX79" s="311"/>
      <c r="BY79" s="311"/>
      <c r="BZ79" s="311"/>
      <c r="CA79" s="311"/>
      <c r="CB79" s="311"/>
      <c r="CC79" s="311"/>
      <c r="CD79" s="311"/>
      <c r="CE79" s="311"/>
      <c r="CF79" s="311"/>
      <c r="CG79" s="311"/>
      <c r="CH79" s="310">
        <v>949873</v>
      </c>
      <c r="CI79" s="310">
        <v>311306</v>
      </c>
      <c r="CJ79" s="310"/>
      <c r="CK79" s="310"/>
      <c r="CL79" s="310"/>
      <c r="CM79" s="310"/>
      <c r="CN79" s="310"/>
      <c r="CO79" s="310"/>
      <c r="CP79" s="310"/>
      <c r="CQ79" s="311" t="s">
        <v>744</v>
      </c>
      <c r="CR79" s="311" t="s">
        <v>742</v>
      </c>
      <c r="CS79" s="311" t="s">
        <v>742</v>
      </c>
      <c r="CT79" s="311"/>
      <c r="CU79" s="311"/>
      <c r="CV79" s="311"/>
      <c r="CW79" s="311"/>
      <c r="CX79" s="311"/>
      <c r="CY79" s="311"/>
      <c r="CZ79" s="311"/>
      <c r="DA79" s="311"/>
      <c r="DB79" s="311"/>
      <c r="DC79" s="311"/>
      <c r="DD79" s="311"/>
      <c r="DE79" s="316"/>
      <c r="DF79" s="314"/>
      <c r="DG79" s="314"/>
      <c r="DH79" s="314"/>
      <c r="DI79" s="314"/>
      <c r="DJ79" s="314"/>
      <c r="DK79" s="314">
        <v>0</v>
      </c>
      <c r="DL79" s="314">
        <v>0</v>
      </c>
      <c r="DM79" s="314">
        <v>0</v>
      </c>
      <c r="DN79" s="314">
        <v>0</v>
      </c>
      <c r="DO79" s="314">
        <v>0</v>
      </c>
      <c r="DP79" s="314">
        <v>0</v>
      </c>
      <c r="DQ79" s="314">
        <v>278392</v>
      </c>
      <c r="DR79" s="314">
        <v>0</v>
      </c>
      <c r="DS79" s="314">
        <v>0</v>
      </c>
      <c r="DT79" s="314">
        <v>0</v>
      </c>
      <c r="DU79" s="314">
        <v>0</v>
      </c>
      <c r="DV79" s="314">
        <v>0</v>
      </c>
      <c r="DW79" s="314">
        <v>278392</v>
      </c>
      <c r="DX79" s="314">
        <v>0</v>
      </c>
      <c r="DY79" s="314">
        <v>278392</v>
      </c>
      <c r="DZ79" s="314">
        <v>0</v>
      </c>
      <c r="EA79" s="314">
        <v>278392</v>
      </c>
      <c r="EB79" s="314">
        <v>0</v>
      </c>
      <c r="EC79" s="317">
        <v>0</v>
      </c>
      <c r="ED79" s="317">
        <v>0</v>
      </c>
      <c r="EE79" s="317">
        <v>0</v>
      </c>
      <c r="EF79" s="317">
        <v>0</v>
      </c>
      <c r="EG79" s="317">
        <v>0</v>
      </c>
      <c r="EH79" s="317">
        <v>0</v>
      </c>
      <c r="EI79" s="317">
        <v>1</v>
      </c>
      <c r="EJ79" s="317">
        <v>0</v>
      </c>
      <c r="EK79" s="317">
        <v>0</v>
      </c>
      <c r="EL79" s="317">
        <v>0</v>
      </c>
      <c r="EM79" s="317">
        <v>0</v>
      </c>
      <c r="EN79" s="317">
        <v>0</v>
      </c>
      <c r="EO79" s="317">
        <v>1</v>
      </c>
      <c r="EP79" s="317">
        <v>0</v>
      </c>
      <c r="EQ79" s="317">
        <v>1</v>
      </c>
      <c r="ER79" s="317">
        <v>0</v>
      </c>
      <c r="ES79" s="317">
        <v>1</v>
      </c>
      <c r="ET79" s="317">
        <v>0</v>
      </c>
    </row>
    <row r="80" spans="1:150" x14ac:dyDescent="0.25">
      <c r="A80" s="310">
        <v>8387</v>
      </c>
      <c r="B80" s="310">
        <v>2023</v>
      </c>
      <c r="C80" s="310" t="s">
        <v>10</v>
      </c>
      <c r="D80" s="310" t="s">
        <v>872</v>
      </c>
      <c r="E80" s="310">
        <v>63579</v>
      </c>
      <c r="F80" s="310" t="s">
        <v>759</v>
      </c>
      <c r="G80" s="310">
        <v>15473</v>
      </c>
      <c r="H80" s="310" t="s">
        <v>873</v>
      </c>
      <c r="I80" s="310">
        <v>61156</v>
      </c>
      <c r="J80" s="310" t="s">
        <v>748</v>
      </c>
      <c r="K80" s="310" t="s">
        <v>760</v>
      </c>
      <c r="L80" s="310" t="s">
        <v>761</v>
      </c>
      <c r="M80" s="310" t="s">
        <v>732</v>
      </c>
      <c r="N80" s="310" t="s">
        <v>733</v>
      </c>
      <c r="O80" s="310" t="s">
        <v>734</v>
      </c>
      <c r="P80" s="310"/>
      <c r="Q80" s="310" t="s">
        <v>735</v>
      </c>
      <c r="R80" s="310" t="s">
        <v>874</v>
      </c>
      <c r="S80" s="310" t="s">
        <v>875</v>
      </c>
      <c r="T80" s="310">
        <v>35.015999999999998</v>
      </c>
      <c r="U80" s="310">
        <v>-106.098</v>
      </c>
      <c r="V80" s="310"/>
      <c r="W80" s="311">
        <v>1</v>
      </c>
      <c r="X80" s="311">
        <v>1</v>
      </c>
      <c r="Y80" s="310" t="s">
        <v>826</v>
      </c>
      <c r="Z80" s="310" t="s">
        <v>827</v>
      </c>
      <c r="AA80" s="310"/>
      <c r="AB80" s="312">
        <v>0.32129999999999997</v>
      </c>
      <c r="AC80" s="313">
        <v>50</v>
      </c>
      <c r="AD80" s="312"/>
      <c r="AE80" s="310"/>
      <c r="AF80" s="310"/>
      <c r="AG80" s="311"/>
      <c r="AH80" s="311"/>
      <c r="AI80" s="312"/>
      <c r="AJ80" s="310"/>
      <c r="AK80" s="314"/>
      <c r="AL80" s="314"/>
      <c r="AM80" s="314">
        <v>480168</v>
      </c>
      <c r="AN80" s="314">
        <v>233480</v>
      </c>
      <c r="AO80" s="314">
        <v>140729</v>
      </c>
      <c r="AP80" s="314">
        <v>68429</v>
      </c>
      <c r="AQ80" s="314"/>
      <c r="AR80" s="314"/>
      <c r="AS80" s="314"/>
      <c r="AT80" s="314"/>
      <c r="AU80" s="314"/>
      <c r="AV80" s="314"/>
      <c r="AW80" s="314"/>
      <c r="AX80" s="314"/>
      <c r="AY80" s="315"/>
      <c r="AZ80" s="315"/>
      <c r="BA80" s="315"/>
      <c r="BB80" s="315"/>
      <c r="BC80" s="315"/>
      <c r="BD80" s="315"/>
      <c r="BE80" s="315"/>
      <c r="BF80" s="315"/>
      <c r="BG80" s="315"/>
      <c r="BH80" s="315"/>
      <c r="BI80" s="315"/>
      <c r="BJ80" s="315"/>
      <c r="BK80" s="315"/>
      <c r="BL80" s="315"/>
      <c r="BM80" s="315"/>
      <c r="BN80" s="315"/>
      <c r="BO80" s="315"/>
      <c r="BP80" s="315"/>
      <c r="BQ80" s="315"/>
      <c r="BR80" s="315"/>
      <c r="BS80" s="315"/>
      <c r="BT80" s="315"/>
      <c r="BU80" s="315"/>
      <c r="BV80" s="315"/>
      <c r="BW80" s="311"/>
      <c r="BX80" s="311"/>
      <c r="BY80" s="311"/>
      <c r="BZ80" s="311"/>
      <c r="CA80" s="311"/>
      <c r="CB80" s="311"/>
      <c r="CC80" s="311"/>
      <c r="CD80" s="311"/>
      <c r="CE80" s="311"/>
      <c r="CF80" s="311"/>
      <c r="CG80" s="311"/>
      <c r="CH80" s="310">
        <v>480168</v>
      </c>
      <c r="CI80" s="310">
        <v>233480</v>
      </c>
      <c r="CJ80" s="310"/>
      <c r="CK80" s="310"/>
      <c r="CL80" s="310"/>
      <c r="CM80" s="310"/>
      <c r="CN80" s="310"/>
      <c r="CO80" s="310"/>
      <c r="CP80" s="310"/>
      <c r="CQ80" s="311" t="s">
        <v>744</v>
      </c>
      <c r="CR80" s="311" t="s">
        <v>742</v>
      </c>
      <c r="CS80" s="311" t="s">
        <v>742</v>
      </c>
      <c r="CT80" s="311"/>
      <c r="CU80" s="311"/>
      <c r="CV80" s="311"/>
      <c r="CW80" s="311"/>
      <c r="CX80" s="311"/>
      <c r="CY80" s="311"/>
      <c r="CZ80" s="311"/>
      <c r="DA80" s="311"/>
      <c r="DB80" s="311"/>
      <c r="DC80" s="311"/>
      <c r="DD80" s="311"/>
      <c r="DE80" s="316"/>
      <c r="DF80" s="314"/>
      <c r="DG80" s="314"/>
      <c r="DH80" s="314"/>
      <c r="DI80" s="314"/>
      <c r="DJ80" s="314"/>
      <c r="DK80" s="314">
        <v>0</v>
      </c>
      <c r="DL80" s="314">
        <v>0</v>
      </c>
      <c r="DM80" s="314">
        <v>0</v>
      </c>
      <c r="DN80" s="314">
        <v>0</v>
      </c>
      <c r="DO80" s="314">
        <v>0</v>
      </c>
      <c r="DP80" s="314">
        <v>0</v>
      </c>
      <c r="DQ80" s="314">
        <v>0</v>
      </c>
      <c r="DR80" s="314">
        <v>140729</v>
      </c>
      <c r="DS80" s="314">
        <v>0</v>
      </c>
      <c r="DT80" s="314">
        <v>0</v>
      </c>
      <c r="DU80" s="314">
        <v>0</v>
      </c>
      <c r="DV80" s="314">
        <v>0</v>
      </c>
      <c r="DW80" s="314">
        <v>140729</v>
      </c>
      <c r="DX80" s="314">
        <v>0</v>
      </c>
      <c r="DY80" s="314">
        <v>140729</v>
      </c>
      <c r="DZ80" s="314">
        <v>0</v>
      </c>
      <c r="EA80" s="314">
        <v>140729</v>
      </c>
      <c r="EB80" s="314">
        <v>0</v>
      </c>
      <c r="EC80" s="317">
        <v>0</v>
      </c>
      <c r="ED80" s="317">
        <v>0</v>
      </c>
      <c r="EE80" s="317">
        <v>0</v>
      </c>
      <c r="EF80" s="317">
        <v>0</v>
      </c>
      <c r="EG80" s="317">
        <v>0</v>
      </c>
      <c r="EH80" s="317">
        <v>0</v>
      </c>
      <c r="EI80" s="317">
        <v>0</v>
      </c>
      <c r="EJ80" s="317">
        <v>1</v>
      </c>
      <c r="EK80" s="317">
        <v>0</v>
      </c>
      <c r="EL80" s="317">
        <v>0</v>
      </c>
      <c r="EM80" s="317">
        <v>0</v>
      </c>
      <c r="EN80" s="317">
        <v>0</v>
      </c>
      <c r="EO80" s="317">
        <v>1</v>
      </c>
      <c r="EP80" s="317">
        <v>0</v>
      </c>
      <c r="EQ80" s="317">
        <v>1</v>
      </c>
      <c r="ER80" s="317">
        <v>0</v>
      </c>
      <c r="ES80" s="317">
        <v>1</v>
      </c>
      <c r="ET80" s="317">
        <v>0</v>
      </c>
    </row>
    <row r="81" spans="1:150" x14ac:dyDescent="0.25">
      <c r="A81" s="310">
        <v>8388</v>
      </c>
      <c r="B81" s="310">
        <v>2023</v>
      </c>
      <c r="C81" s="310" t="s">
        <v>10</v>
      </c>
      <c r="D81" s="310" t="s">
        <v>876</v>
      </c>
      <c r="E81" s="310">
        <v>60145</v>
      </c>
      <c r="F81" s="310" t="s">
        <v>759</v>
      </c>
      <c r="G81" s="310">
        <v>15473</v>
      </c>
      <c r="H81" s="310" t="s">
        <v>877</v>
      </c>
      <c r="I81" s="310">
        <v>56545</v>
      </c>
      <c r="J81" s="310" t="s">
        <v>748</v>
      </c>
      <c r="K81" s="310" t="s">
        <v>878</v>
      </c>
      <c r="L81" s="310" t="s">
        <v>879</v>
      </c>
      <c r="M81" s="310" t="s">
        <v>732</v>
      </c>
      <c r="N81" s="310" t="s">
        <v>752</v>
      </c>
      <c r="O81" s="310" t="s">
        <v>753</v>
      </c>
      <c r="P81" s="310"/>
      <c r="Q81" s="310" t="s">
        <v>735</v>
      </c>
      <c r="R81" s="310" t="s">
        <v>880</v>
      </c>
      <c r="S81" s="310" t="s">
        <v>881</v>
      </c>
      <c r="T81" s="310">
        <v>34.734178999999997</v>
      </c>
      <c r="U81" s="310">
        <v>-103.108047</v>
      </c>
      <c r="V81" s="310"/>
      <c r="W81" s="311">
        <v>1</v>
      </c>
      <c r="X81" s="311">
        <v>1</v>
      </c>
      <c r="Y81" s="310" t="s">
        <v>840</v>
      </c>
      <c r="Z81" s="310" t="s">
        <v>841</v>
      </c>
      <c r="AA81" s="310"/>
      <c r="AB81" s="312">
        <v>0.43224000000000001</v>
      </c>
      <c r="AC81" s="313">
        <v>181.7</v>
      </c>
      <c r="AD81" s="312"/>
      <c r="AE81" s="310"/>
      <c r="AF81" s="310"/>
      <c r="AG81" s="311"/>
      <c r="AH81" s="311"/>
      <c r="AI81" s="312"/>
      <c r="AJ81" s="310"/>
      <c r="AK81" s="314"/>
      <c r="AL81" s="314"/>
      <c r="AM81" s="314">
        <v>2347448</v>
      </c>
      <c r="AN81" s="314">
        <v>873929</v>
      </c>
      <c r="AO81" s="314">
        <v>687998</v>
      </c>
      <c r="AP81" s="314">
        <v>256134</v>
      </c>
      <c r="AQ81" s="314"/>
      <c r="AR81" s="314"/>
      <c r="AS81" s="314"/>
      <c r="AT81" s="314"/>
      <c r="AU81" s="314"/>
      <c r="AV81" s="314"/>
      <c r="AW81" s="314"/>
      <c r="AX81" s="314"/>
      <c r="AY81" s="315"/>
      <c r="AZ81" s="315"/>
      <c r="BA81" s="315"/>
      <c r="BB81" s="315"/>
      <c r="BC81" s="315"/>
      <c r="BD81" s="315"/>
      <c r="BE81" s="315"/>
      <c r="BF81" s="315"/>
      <c r="BG81" s="315"/>
      <c r="BH81" s="315"/>
      <c r="BI81" s="315"/>
      <c r="BJ81" s="315"/>
      <c r="BK81" s="315"/>
      <c r="BL81" s="315"/>
      <c r="BM81" s="315"/>
      <c r="BN81" s="315"/>
      <c r="BO81" s="315"/>
      <c r="BP81" s="315"/>
      <c r="BQ81" s="315"/>
      <c r="BR81" s="315"/>
      <c r="BS81" s="315"/>
      <c r="BT81" s="315"/>
      <c r="BU81" s="315"/>
      <c r="BV81" s="315"/>
      <c r="BW81" s="311"/>
      <c r="BX81" s="311"/>
      <c r="BY81" s="311"/>
      <c r="BZ81" s="311"/>
      <c r="CA81" s="311"/>
      <c r="CB81" s="311"/>
      <c r="CC81" s="311"/>
      <c r="CD81" s="311"/>
      <c r="CE81" s="311"/>
      <c r="CF81" s="311"/>
      <c r="CG81" s="311"/>
      <c r="CH81" s="310">
        <v>2347448</v>
      </c>
      <c r="CI81" s="310">
        <v>873929</v>
      </c>
      <c r="CJ81" s="310"/>
      <c r="CK81" s="310"/>
      <c r="CL81" s="310"/>
      <c r="CM81" s="310"/>
      <c r="CN81" s="310"/>
      <c r="CO81" s="310"/>
      <c r="CP81" s="310"/>
      <c r="CQ81" s="311" t="s">
        <v>744</v>
      </c>
      <c r="CR81" s="311" t="s">
        <v>742</v>
      </c>
      <c r="CS81" s="311" t="s">
        <v>742</v>
      </c>
      <c r="CT81" s="311"/>
      <c r="CU81" s="311"/>
      <c r="CV81" s="311"/>
      <c r="CW81" s="311"/>
      <c r="CX81" s="311"/>
      <c r="CY81" s="311"/>
      <c r="CZ81" s="311"/>
      <c r="DA81" s="311"/>
      <c r="DB81" s="311"/>
      <c r="DC81" s="311"/>
      <c r="DD81" s="311"/>
      <c r="DE81" s="316"/>
      <c r="DF81" s="314"/>
      <c r="DG81" s="314"/>
      <c r="DH81" s="314"/>
      <c r="DI81" s="314"/>
      <c r="DJ81" s="314"/>
      <c r="DK81" s="314">
        <v>0</v>
      </c>
      <c r="DL81" s="314">
        <v>0</v>
      </c>
      <c r="DM81" s="314">
        <v>0</v>
      </c>
      <c r="DN81" s="314">
        <v>0</v>
      </c>
      <c r="DO81" s="314">
        <v>0</v>
      </c>
      <c r="DP81" s="314">
        <v>0</v>
      </c>
      <c r="DQ81" s="314">
        <v>687998</v>
      </c>
      <c r="DR81" s="314">
        <v>0</v>
      </c>
      <c r="DS81" s="314">
        <v>0</v>
      </c>
      <c r="DT81" s="314">
        <v>0</v>
      </c>
      <c r="DU81" s="314">
        <v>0</v>
      </c>
      <c r="DV81" s="314">
        <v>0</v>
      </c>
      <c r="DW81" s="314">
        <v>687998</v>
      </c>
      <c r="DX81" s="314">
        <v>0</v>
      </c>
      <c r="DY81" s="314">
        <v>687998</v>
      </c>
      <c r="DZ81" s="314">
        <v>0</v>
      </c>
      <c r="EA81" s="314">
        <v>687998</v>
      </c>
      <c r="EB81" s="314">
        <v>0</v>
      </c>
      <c r="EC81" s="317">
        <v>0</v>
      </c>
      <c r="ED81" s="317">
        <v>0</v>
      </c>
      <c r="EE81" s="317">
        <v>0</v>
      </c>
      <c r="EF81" s="317">
        <v>0</v>
      </c>
      <c r="EG81" s="317">
        <v>0</v>
      </c>
      <c r="EH81" s="317">
        <v>0</v>
      </c>
      <c r="EI81" s="317">
        <v>1</v>
      </c>
      <c r="EJ81" s="317">
        <v>0</v>
      </c>
      <c r="EK81" s="317">
        <v>0</v>
      </c>
      <c r="EL81" s="317">
        <v>0</v>
      </c>
      <c r="EM81" s="317">
        <v>0</v>
      </c>
      <c r="EN81" s="317">
        <v>0</v>
      </c>
      <c r="EO81" s="317">
        <v>1</v>
      </c>
      <c r="EP81" s="317">
        <v>0</v>
      </c>
      <c r="EQ81" s="317">
        <v>1</v>
      </c>
      <c r="ER81" s="317">
        <v>0</v>
      </c>
      <c r="ES81" s="317">
        <v>1</v>
      </c>
      <c r="ET81" s="317">
        <v>0</v>
      </c>
    </row>
    <row r="82" spans="1:150" x14ac:dyDescent="0.25">
      <c r="A82" s="310">
        <v>8389</v>
      </c>
      <c r="B82" s="310">
        <v>2023</v>
      </c>
      <c r="C82" s="310" t="s">
        <v>10</v>
      </c>
      <c r="D82" s="310" t="s">
        <v>882</v>
      </c>
      <c r="E82" s="310">
        <v>60152</v>
      </c>
      <c r="F82" s="310" t="s">
        <v>759</v>
      </c>
      <c r="G82" s="310">
        <v>15473</v>
      </c>
      <c r="H82" s="310" t="s">
        <v>877</v>
      </c>
      <c r="I82" s="310">
        <v>56545</v>
      </c>
      <c r="J82" s="310" t="s">
        <v>748</v>
      </c>
      <c r="K82" s="310" t="s">
        <v>878</v>
      </c>
      <c r="L82" s="310" t="s">
        <v>879</v>
      </c>
      <c r="M82" s="310" t="s">
        <v>732</v>
      </c>
      <c r="N82" s="310" t="s">
        <v>752</v>
      </c>
      <c r="O82" s="310" t="s">
        <v>753</v>
      </c>
      <c r="P82" s="310"/>
      <c r="Q82" s="310" t="s">
        <v>735</v>
      </c>
      <c r="R82" s="310" t="s">
        <v>880</v>
      </c>
      <c r="S82" s="310" t="s">
        <v>881</v>
      </c>
      <c r="T82" s="310">
        <v>34.727007</v>
      </c>
      <c r="U82" s="310">
        <v>-103.166771</v>
      </c>
      <c r="V82" s="310"/>
      <c r="W82" s="311">
        <v>1</v>
      </c>
      <c r="X82" s="311">
        <v>1</v>
      </c>
      <c r="Y82" s="310" t="s">
        <v>840</v>
      </c>
      <c r="Z82" s="310" t="s">
        <v>841</v>
      </c>
      <c r="AA82" s="310"/>
      <c r="AB82" s="312">
        <v>0.43608999999999998</v>
      </c>
      <c r="AC82" s="313">
        <v>142.6</v>
      </c>
      <c r="AD82" s="312"/>
      <c r="AE82" s="310"/>
      <c r="AF82" s="310"/>
      <c r="AG82" s="311"/>
      <c r="AH82" s="311"/>
      <c r="AI82" s="312"/>
      <c r="AJ82" s="310"/>
      <c r="AK82" s="314"/>
      <c r="AL82" s="314"/>
      <c r="AM82" s="314">
        <v>1858676</v>
      </c>
      <c r="AN82" s="314">
        <v>687245</v>
      </c>
      <c r="AO82" s="314">
        <v>544747</v>
      </c>
      <c r="AP82" s="314">
        <v>201420</v>
      </c>
      <c r="AQ82" s="314"/>
      <c r="AR82" s="314"/>
      <c r="AS82" s="314"/>
      <c r="AT82" s="314"/>
      <c r="AU82" s="314"/>
      <c r="AV82" s="314"/>
      <c r="AW82" s="314"/>
      <c r="AX82" s="314"/>
      <c r="AY82" s="315"/>
      <c r="AZ82" s="315"/>
      <c r="BA82" s="315"/>
      <c r="BB82" s="315"/>
      <c r="BC82" s="315"/>
      <c r="BD82" s="315"/>
      <c r="BE82" s="315"/>
      <c r="BF82" s="315"/>
      <c r="BG82" s="315"/>
      <c r="BH82" s="315"/>
      <c r="BI82" s="315"/>
      <c r="BJ82" s="315"/>
      <c r="BK82" s="315"/>
      <c r="BL82" s="315"/>
      <c r="BM82" s="315"/>
      <c r="BN82" s="315"/>
      <c r="BO82" s="315"/>
      <c r="BP82" s="315"/>
      <c r="BQ82" s="315"/>
      <c r="BR82" s="315"/>
      <c r="BS82" s="315"/>
      <c r="BT82" s="315"/>
      <c r="BU82" s="315"/>
      <c r="BV82" s="315"/>
      <c r="BW82" s="311"/>
      <c r="BX82" s="311"/>
      <c r="BY82" s="311"/>
      <c r="BZ82" s="311"/>
      <c r="CA82" s="311"/>
      <c r="CB82" s="311"/>
      <c r="CC82" s="311"/>
      <c r="CD82" s="311"/>
      <c r="CE82" s="311"/>
      <c r="CF82" s="311"/>
      <c r="CG82" s="311"/>
      <c r="CH82" s="310">
        <v>1858676</v>
      </c>
      <c r="CI82" s="310">
        <v>687245</v>
      </c>
      <c r="CJ82" s="310"/>
      <c r="CK82" s="310"/>
      <c r="CL82" s="310"/>
      <c r="CM82" s="310"/>
      <c r="CN82" s="310"/>
      <c r="CO82" s="310"/>
      <c r="CP82" s="310"/>
      <c r="CQ82" s="311" t="s">
        <v>744</v>
      </c>
      <c r="CR82" s="311" t="s">
        <v>742</v>
      </c>
      <c r="CS82" s="311" t="s">
        <v>742</v>
      </c>
      <c r="CT82" s="311"/>
      <c r="CU82" s="311"/>
      <c r="CV82" s="311"/>
      <c r="CW82" s="311"/>
      <c r="CX82" s="311"/>
      <c r="CY82" s="311"/>
      <c r="CZ82" s="311"/>
      <c r="DA82" s="311"/>
      <c r="DB82" s="311"/>
      <c r="DC82" s="311"/>
      <c r="DD82" s="311"/>
      <c r="DE82" s="316"/>
      <c r="DF82" s="314"/>
      <c r="DG82" s="314"/>
      <c r="DH82" s="314"/>
      <c r="DI82" s="314"/>
      <c r="DJ82" s="314"/>
      <c r="DK82" s="314">
        <v>0</v>
      </c>
      <c r="DL82" s="314">
        <v>0</v>
      </c>
      <c r="DM82" s="314">
        <v>0</v>
      </c>
      <c r="DN82" s="314">
        <v>0</v>
      </c>
      <c r="DO82" s="314">
        <v>0</v>
      </c>
      <c r="DP82" s="314">
        <v>0</v>
      </c>
      <c r="DQ82" s="314">
        <v>544747</v>
      </c>
      <c r="DR82" s="314">
        <v>0</v>
      </c>
      <c r="DS82" s="314">
        <v>0</v>
      </c>
      <c r="DT82" s="314">
        <v>0</v>
      </c>
      <c r="DU82" s="314">
        <v>0</v>
      </c>
      <c r="DV82" s="314">
        <v>0</v>
      </c>
      <c r="DW82" s="314">
        <v>544747</v>
      </c>
      <c r="DX82" s="314">
        <v>0</v>
      </c>
      <c r="DY82" s="314">
        <v>544747</v>
      </c>
      <c r="DZ82" s="314">
        <v>0</v>
      </c>
      <c r="EA82" s="314">
        <v>544747</v>
      </c>
      <c r="EB82" s="314">
        <v>0</v>
      </c>
      <c r="EC82" s="317">
        <v>0</v>
      </c>
      <c r="ED82" s="317">
        <v>0</v>
      </c>
      <c r="EE82" s="317">
        <v>0</v>
      </c>
      <c r="EF82" s="317">
        <v>0</v>
      </c>
      <c r="EG82" s="317">
        <v>0</v>
      </c>
      <c r="EH82" s="317">
        <v>0</v>
      </c>
      <c r="EI82" s="317">
        <v>1</v>
      </c>
      <c r="EJ82" s="317">
        <v>0</v>
      </c>
      <c r="EK82" s="317">
        <v>0</v>
      </c>
      <c r="EL82" s="317">
        <v>0</v>
      </c>
      <c r="EM82" s="317">
        <v>0</v>
      </c>
      <c r="EN82" s="317">
        <v>0</v>
      </c>
      <c r="EO82" s="317">
        <v>1</v>
      </c>
      <c r="EP82" s="317">
        <v>0</v>
      </c>
      <c r="EQ82" s="317">
        <v>1</v>
      </c>
      <c r="ER82" s="317">
        <v>0</v>
      </c>
      <c r="ES82" s="317">
        <v>1</v>
      </c>
      <c r="ET82" s="317">
        <v>0</v>
      </c>
    </row>
    <row r="83" spans="1:150" x14ac:dyDescent="0.25">
      <c r="A83" s="310">
        <v>8390</v>
      </c>
      <c r="B83" s="310">
        <v>2023</v>
      </c>
      <c r="C83" s="310" t="s">
        <v>10</v>
      </c>
      <c r="D83" s="310" t="s">
        <v>883</v>
      </c>
      <c r="E83" s="310">
        <v>58465</v>
      </c>
      <c r="F83" s="310" t="s">
        <v>884</v>
      </c>
      <c r="G83" s="310">
        <v>6198</v>
      </c>
      <c r="H83" s="310" t="s">
        <v>837</v>
      </c>
      <c r="I83" s="310">
        <v>57421</v>
      </c>
      <c r="J83" s="310" t="s">
        <v>748</v>
      </c>
      <c r="K83" s="310" t="s">
        <v>749</v>
      </c>
      <c r="L83" s="310" t="s">
        <v>750</v>
      </c>
      <c r="M83" s="310" t="s">
        <v>751</v>
      </c>
      <c r="N83" s="310" t="s">
        <v>752</v>
      </c>
      <c r="O83" s="310" t="s">
        <v>753</v>
      </c>
      <c r="P83" s="310"/>
      <c r="Q83" s="310" t="s">
        <v>735</v>
      </c>
      <c r="R83" s="310" t="s">
        <v>880</v>
      </c>
      <c r="S83" s="310" t="s">
        <v>881</v>
      </c>
      <c r="T83" s="310">
        <v>34.728056000000002</v>
      </c>
      <c r="U83" s="310">
        <v>-103.30500000000001</v>
      </c>
      <c r="V83" s="310"/>
      <c r="W83" s="311">
        <v>1</v>
      </c>
      <c r="X83" s="311">
        <v>1</v>
      </c>
      <c r="Y83" s="310" t="s">
        <v>840</v>
      </c>
      <c r="Z83" s="310" t="s">
        <v>841</v>
      </c>
      <c r="AA83" s="310"/>
      <c r="AB83" s="312">
        <v>0.38540999999999997</v>
      </c>
      <c r="AC83" s="313">
        <v>9.9</v>
      </c>
      <c r="AD83" s="312"/>
      <c r="AE83" s="310"/>
      <c r="AF83" s="310"/>
      <c r="AG83" s="311"/>
      <c r="AH83" s="311"/>
      <c r="AI83" s="312"/>
      <c r="AJ83" s="310"/>
      <c r="AK83" s="314"/>
      <c r="AL83" s="314"/>
      <c r="AM83" s="314">
        <v>114045</v>
      </c>
      <c r="AN83" s="314">
        <v>39659</v>
      </c>
      <c r="AO83" s="314">
        <v>33424</v>
      </c>
      <c r="AP83" s="314">
        <v>11623</v>
      </c>
      <c r="AQ83" s="314"/>
      <c r="AR83" s="314"/>
      <c r="AS83" s="314"/>
      <c r="AT83" s="314"/>
      <c r="AU83" s="314"/>
      <c r="AV83" s="314"/>
      <c r="AW83" s="314"/>
      <c r="AX83" s="314"/>
      <c r="AY83" s="315"/>
      <c r="AZ83" s="315"/>
      <c r="BA83" s="315"/>
      <c r="BB83" s="315"/>
      <c r="BC83" s="315"/>
      <c r="BD83" s="315"/>
      <c r="BE83" s="315"/>
      <c r="BF83" s="315"/>
      <c r="BG83" s="315"/>
      <c r="BH83" s="315"/>
      <c r="BI83" s="315"/>
      <c r="BJ83" s="315"/>
      <c r="BK83" s="315"/>
      <c r="BL83" s="315"/>
      <c r="BM83" s="315"/>
      <c r="BN83" s="315"/>
      <c r="BO83" s="315"/>
      <c r="BP83" s="315"/>
      <c r="BQ83" s="315"/>
      <c r="BR83" s="315"/>
      <c r="BS83" s="315"/>
      <c r="BT83" s="315"/>
      <c r="BU83" s="315"/>
      <c r="BV83" s="315"/>
      <c r="BW83" s="311"/>
      <c r="BX83" s="311"/>
      <c r="BY83" s="311"/>
      <c r="BZ83" s="311"/>
      <c r="CA83" s="311"/>
      <c r="CB83" s="311"/>
      <c r="CC83" s="311"/>
      <c r="CD83" s="311"/>
      <c r="CE83" s="311"/>
      <c r="CF83" s="311"/>
      <c r="CG83" s="311"/>
      <c r="CH83" s="310">
        <v>114045</v>
      </c>
      <c r="CI83" s="310">
        <v>39659</v>
      </c>
      <c r="CJ83" s="310"/>
      <c r="CK83" s="310"/>
      <c r="CL83" s="310"/>
      <c r="CM83" s="310"/>
      <c r="CN83" s="310"/>
      <c r="CO83" s="310"/>
      <c r="CP83" s="310"/>
      <c r="CQ83" s="311" t="s">
        <v>744</v>
      </c>
      <c r="CR83" s="311" t="s">
        <v>742</v>
      </c>
      <c r="CS83" s="311" t="s">
        <v>742</v>
      </c>
      <c r="CT83" s="311"/>
      <c r="CU83" s="311"/>
      <c r="CV83" s="311"/>
      <c r="CW83" s="311"/>
      <c r="CX83" s="311"/>
      <c r="CY83" s="311"/>
      <c r="CZ83" s="311"/>
      <c r="DA83" s="311"/>
      <c r="DB83" s="311"/>
      <c r="DC83" s="311"/>
      <c r="DD83" s="311"/>
      <c r="DE83" s="316"/>
      <c r="DF83" s="314"/>
      <c r="DG83" s="314"/>
      <c r="DH83" s="314"/>
      <c r="DI83" s="314"/>
      <c r="DJ83" s="314"/>
      <c r="DK83" s="314">
        <v>0</v>
      </c>
      <c r="DL83" s="314">
        <v>0</v>
      </c>
      <c r="DM83" s="314">
        <v>0</v>
      </c>
      <c r="DN83" s="314">
        <v>0</v>
      </c>
      <c r="DO83" s="314">
        <v>0</v>
      </c>
      <c r="DP83" s="314">
        <v>0</v>
      </c>
      <c r="DQ83" s="314">
        <v>33424</v>
      </c>
      <c r="DR83" s="314">
        <v>0</v>
      </c>
      <c r="DS83" s="314">
        <v>0</v>
      </c>
      <c r="DT83" s="314">
        <v>0</v>
      </c>
      <c r="DU83" s="314">
        <v>0</v>
      </c>
      <c r="DV83" s="314">
        <v>0</v>
      </c>
      <c r="DW83" s="314">
        <v>33424</v>
      </c>
      <c r="DX83" s="314">
        <v>0</v>
      </c>
      <c r="DY83" s="314">
        <v>33424</v>
      </c>
      <c r="DZ83" s="314">
        <v>0</v>
      </c>
      <c r="EA83" s="314">
        <v>33424</v>
      </c>
      <c r="EB83" s="314">
        <v>0</v>
      </c>
      <c r="EC83" s="317">
        <v>0</v>
      </c>
      <c r="ED83" s="317">
        <v>0</v>
      </c>
      <c r="EE83" s="317">
        <v>0</v>
      </c>
      <c r="EF83" s="317">
        <v>0</v>
      </c>
      <c r="EG83" s="317">
        <v>0</v>
      </c>
      <c r="EH83" s="317">
        <v>0</v>
      </c>
      <c r="EI83" s="317">
        <v>1</v>
      </c>
      <c r="EJ83" s="317">
        <v>0</v>
      </c>
      <c r="EK83" s="317">
        <v>0</v>
      </c>
      <c r="EL83" s="317">
        <v>0</v>
      </c>
      <c r="EM83" s="317">
        <v>0</v>
      </c>
      <c r="EN83" s="317">
        <v>0</v>
      </c>
      <c r="EO83" s="317">
        <v>1</v>
      </c>
      <c r="EP83" s="317">
        <v>0</v>
      </c>
      <c r="EQ83" s="317">
        <v>1</v>
      </c>
      <c r="ER83" s="317">
        <v>0</v>
      </c>
      <c r="ES83" s="317">
        <v>1</v>
      </c>
      <c r="ET83" s="317">
        <v>0</v>
      </c>
    </row>
    <row r="84" spans="1:150" x14ac:dyDescent="0.25">
      <c r="A84" s="310">
        <v>8391</v>
      </c>
      <c r="B84" s="310">
        <v>2023</v>
      </c>
      <c r="C84" s="310" t="s">
        <v>10</v>
      </c>
      <c r="D84" s="310" t="s">
        <v>885</v>
      </c>
      <c r="E84" s="310">
        <v>58464</v>
      </c>
      <c r="F84" s="310" t="s">
        <v>884</v>
      </c>
      <c r="G84" s="310">
        <v>6198</v>
      </c>
      <c r="H84" s="310" t="s">
        <v>837</v>
      </c>
      <c r="I84" s="310">
        <v>57421</v>
      </c>
      <c r="J84" s="310" t="s">
        <v>748</v>
      </c>
      <c r="K84" s="310" t="s">
        <v>749</v>
      </c>
      <c r="L84" s="310" t="s">
        <v>750</v>
      </c>
      <c r="M84" s="310" t="s">
        <v>751</v>
      </c>
      <c r="N84" s="310" t="s">
        <v>752</v>
      </c>
      <c r="O84" s="310" t="s">
        <v>753</v>
      </c>
      <c r="P84" s="310"/>
      <c r="Q84" s="310" t="s">
        <v>735</v>
      </c>
      <c r="R84" s="310" t="s">
        <v>880</v>
      </c>
      <c r="S84" s="310" t="s">
        <v>881</v>
      </c>
      <c r="T84" s="310">
        <v>34.746943999999999</v>
      </c>
      <c r="U84" s="310">
        <v>-103.325</v>
      </c>
      <c r="V84" s="310"/>
      <c r="W84" s="311">
        <v>1</v>
      </c>
      <c r="X84" s="311">
        <v>1</v>
      </c>
      <c r="Y84" s="310" t="s">
        <v>840</v>
      </c>
      <c r="Z84" s="310" t="s">
        <v>841</v>
      </c>
      <c r="AA84" s="310"/>
      <c r="AB84" s="312">
        <v>0.38540999999999997</v>
      </c>
      <c r="AC84" s="313">
        <v>9.9</v>
      </c>
      <c r="AD84" s="312"/>
      <c r="AE84" s="310"/>
      <c r="AF84" s="310"/>
      <c r="AG84" s="311"/>
      <c r="AH84" s="311"/>
      <c r="AI84" s="312"/>
      <c r="AJ84" s="310"/>
      <c r="AK84" s="314"/>
      <c r="AL84" s="314"/>
      <c r="AM84" s="314">
        <v>114045</v>
      </c>
      <c r="AN84" s="314">
        <v>39659</v>
      </c>
      <c r="AO84" s="314">
        <v>33424</v>
      </c>
      <c r="AP84" s="314">
        <v>11623</v>
      </c>
      <c r="AQ84" s="314"/>
      <c r="AR84" s="314"/>
      <c r="AS84" s="314"/>
      <c r="AT84" s="314"/>
      <c r="AU84" s="314"/>
      <c r="AV84" s="314"/>
      <c r="AW84" s="314"/>
      <c r="AX84" s="314"/>
      <c r="AY84" s="315"/>
      <c r="AZ84" s="315"/>
      <c r="BA84" s="315"/>
      <c r="BB84" s="315"/>
      <c r="BC84" s="315"/>
      <c r="BD84" s="315"/>
      <c r="BE84" s="315"/>
      <c r="BF84" s="315"/>
      <c r="BG84" s="315"/>
      <c r="BH84" s="315"/>
      <c r="BI84" s="315"/>
      <c r="BJ84" s="315"/>
      <c r="BK84" s="315"/>
      <c r="BL84" s="315"/>
      <c r="BM84" s="315"/>
      <c r="BN84" s="315"/>
      <c r="BO84" s="315"/>
      <c r="BP84" s="315"/>
      <c r="BQ84" s="315"/>
      <c r="BR84" s="315"/>
      <c r="BS84" s="315"/>
      <c r="BT84" s="315"/>
      <c r="BU84" s="315"/>
      <c r="BV84" s="315"/>
      <c r="BW84" s="311"/>
      <c r="BX84" s="311"/>
      <c r="BY84" s="311"/>
      <c r="BZ84" s="311"/>
      <c r="CA84" s="311"/>
      <c r="CB84" s="311"/>
      <c r="CC84" s="311"/>
      <c r="CD84" s="311"/>
      <c r="CE84" s="311"/>
      <c r="CF84" s="311"/>
      <c r="CG84" s="311"/>
      <c r="CH84" s="310">
        <v>114045</v>
      </c>
      <c r="CI84" s="310">
        <v>39659</v>
      </c>
      <c r="CJ84" s="310"/>
      <c r="CK84" s="310"/>
      <c r="CL84" s="310"/>
      <c r="CM84" s="310"/>
      <c r="CN84" s="310"/>
      <c r="CO84" s="310"/>
      <c r="CP84" s="310"/>
      <c r="CQ84" s="311" t="s">
        <v>744</v>
      </c>
      <c r="CR84" s="311" t="s">
        <v>742</v>
      </c>
      <c r="CS84" s="311" t="s">
        <v>742</v>
      </c>
      <c r="CT84" s="311"/>
      <c r="CU84" s="311"/>
      <c r="CV84" s="311"/>
      <c r="CW84" s="311"/>
      <c r="CX84" s="311"/>
      <c r="CY84" s="311"/>
      <c r="CZ84" s="311"/>
      <c r="DA84" s="311"/>
      <c r="DB84" s="311"/>
      <c r="DC84" s="311"/>
      <c r="DD84" s="311"/>
      <c r="DE84" s="316"/>
      <c r="DF84" s="314"/>
      <c r="DG84" s="314"/>
      <c r="DH84" s="314"/>
      <c r="DI84" s="314"/>
      <c r="DJ84" s="314"/>
      <c r="DK84" s="314">
        <v>0</v>
      </c>
      <c r="DL84" s="314">
        <v>0</v>
      </c>
      <c r="DM84" s="314">
        <v>0</v>
      </c>
      <c r="DN84" s="314">
        <v>0</v>
      </c>
      <c r="DO84" s="314">
        <v>0</v>
      </c>
      <c r="DP84" s="314">
        <v>0</v>
      </c>
      <c r="DQ84" s="314">
        <v>33424</v>
      </c>
      <c r="DR84" s="314">
        <v>0</v>
      </c>
      <c r="DS84" s="314">
        <v>0</v>
      </c>
      <c r="DT84" s="314">
        <v>0</v>
      </c>
      <c r="DU84" s="314">
        <v>0</v>
      </c>
      <c r="DV84" s="314">
        <v>0</v>
      </c>
      <c r="DW84" s="314">
        <v>33424</v>
      </c>
      <c r="DX84" s="314">
        <v>0</v>
      </c>
      <c r="DY84" s="314">
        <v>33424</v>
      </c>
      <c r="DZ84" s="314">
        <v>0</v>
      </c>
      <c r="EA84" s="314">
        <v>33424</v>
      </c>
      <c r="EB84" s="314">
        <v>0</v>
      </c>
      <c r="EC84" s="317">
        <v>0</v>
      </c>
      <c r="ED84" s="317">
        <v>0</v>
      </c>
      <c r="EE84" s="317">
        <v>0</v>
      </c>
      <c r="EF84" s="317">
        <v>0</v>
      </c>
      <c r="EG84" s="317">
        <v>0</v>
      </c>
      <c r="EH84" s="317">
        <v>0</v>
      </c>
      <c r="EI84" s="317">
        <v>1</v>
      </c>
      <c r="EJ84" s="317">
        <v>0</v>
      </c>
      <c r="EK84" s="317">
        <v>0</v>
      </c>
      <c r="EL84" s="317">
        <v>0</v>
      </c>
      <c r="EM84" s="317">
        <v>0</v>
      </c>
      <c r="EN84" s="317">
        <v>0</v>
      </c>
      <c r="EO84" s="317">
        <v>1</v>
      </c>
      <c r="EP84" s="317">
        <v>0</v>
      </c>
      <c r="EQ84" s="317">
        <v>1</v>
      </c>
      <c r="ER84" s="317">
        <v>0</v>
      </c>
      <c r="ES84" s="317">
        <v>1</v>
      </c>
      <c r="ET84" s="317">
        <v>0</v>
      </c>
    </row>
    <row r="85" spans="1:150" x14ac:dyDescent="0.25">
      <c r="A85" s="310">
        <v>8392</v>
      </c>
      <c r="B85" s="310">
        <v>2023</v>
      </c>
      <c r="C85" s="310" t="s">
        <v>10</v>
      </c>
      <c r="D85" s="310" t="s">
        <v>886</v>
      </c>
      <c r="E85" s="310">
        <v>66408</v>
      </c>
      <c r="F85" s="310" t="s">
        <v>887</v>
      </c>
      <c r="G85" s="310">
        <v>16572</v>
      </c>
      <c r="H85" s="310" t="s">
        <v>888</v>
      </c>
      <c r="I85" s="310">
        <v>65486</v>
      </c>
      <c r="J85" s="310" t="s">
        <v>748</v>
      </c>
      <c r="K85" s="310" t="s">
        <v>769</v>
      </c>
      <c r="L85" s="310" t="s">
        <v>770</v>
      </c>
      <c r="M85" s="310" t="s">
        <v>732</v>
      </c>
      <c r="N85" s="310" t="s">
        <v>733</v>
      </c>
      <c r="O85" s="310" t="s">
        <v>734</v>
      </c>
      <c r="P85" s="310"/>
      <c r="Q85" s="310" t="s">
        <v>735</v>
      </c>
      <c r="R85" s="310" t="s">
        <v>824</v>
      </c>
      <c r="S85" s="310" t="s">
        <v>825</v>
      </c>
      <c r="T85" s="310">
        <v>32.066592999999997</v>
      </c>
      <c r="U85" s="310">
        <v>-106.285301</v>
      </c>
      <c r="V85" s="310"/>
      <c r="W85" s="311">
        <v>2</v>
      </c>
      <c r="X85" s="311">
        <v>2</v>
      </c>
      <c r="Y85" s="310" t="s">
        <v>826</v>
      </c>
      <c r="Z85" s="310" t="s">
        <v>827</v>
      </c>
      <c r="AA85" s="310"/>
      <c r="AB85" s="312">
        <v>0.17887</v>
      </c>
      <c r="AC85" s="313">
        <v>170</v>
      </c>
      <c r="AD85" s="312"/>
      <c r="AE85" s="310"/>
      <c r="AF85" s="310"/>
      <c r="AG85" s="311"/>
      <c r="AH85" s="311"/>
      <c r="AI85" s="312"/>
      <c r="AJ85" s="310"/>
      <c r="AK85" s="314"/>
      <c r="AL85" s="314"/>
      <c r="AM85" s="314">
        <v>929347</v>
      </c>
      <c r="AN85" s="314">
        <v>581374</v>
      </c>
      <c r="AO85" s="314">
        <v>266373</v>
      </c>
      <c r="AP85" s="314">
        <v>164844</v>
      </c>
      <c r="AQ85" s="314"/>
      <c r="AR85" s="314"/>
      <c r="AS85" s="314"/>
      <c r="AT85" s="314"/>
      <c r="AU85" s="314"/>
      <c r="AV85" s="314"/>
      <c r="AW85" s="314"/>
      <c r="AX85" s="314"/>
      <c r="AY85" s="315"/>
      <c r="AZ85" s="315"/>
      <c r="BA85" s="315"/>
      <c r="BB85" s="315"/>
      <c r="BC85" s="315"/>
      <c r="BD85" s="315"/>
      <c r="BE85" s="315"/>
      <c r="BF85" s="315"/>
      <c r="BG85" s="315"/>
      <c r="BH85" s="315"/>
      <c r="BI85" s="315"/>
      <c r="BJ85" s="315"/>
      <c r="BK85" s="315"/>
      <c r="BL85" s="315"/>
      <c r="BM85" s="315"/>
      <c r="BN85" s="315"/>
      <c r="BO85" s="315"/>
      <c r="BP85" s="315"/>
      <c r="BQ85" s="315"/>
      <c r="BR85" s="315"/>
      <c r="BS85" s="315"/>
      <c r="BT85" s="315"/>
      <c r="BU85" s="315"/>
      <c r="BV85" s="315"/>
      <c r="BW85" s="311"/>
      <c r="BX85" s="311"/>
      <c r="BY85" s="311"/>
      <c r="BZ85" s="311"/>
      <c r="CA85" s="311"/>
      <c r="CB85" s="311"/>
      <c r="CC85" s="311"/>
      <c r="CD85" s="311"/>
      <c r="CE85" s="311"/>
      <c r="CF85" s="311"/>
      <c r="CG85" s="311"/>
      <c r="CH85" s="310">
        <v>929347</v>
      </c>
      <c r="CI85" s="310">
        <v>581374</v>
      </c>
      <c r="CJ85" s="310"/>
      <c r="CK85" s="310"/>
      <c r="CL85" s="310"/>
      <c r="CM85" s="310"/>
      <c r="CN85" s="310"/>
      <c r="CO85" s="310"/>
      <c r="CP85" s="310"/>
      <c r="CQ85" s="311" t="s">
        <v>744</v>
      </c>
      <c r="CR85" s="311" t="s">
        <v>742</v>
      </c>
      <c r="CS85" s="311" t="s">
        <v>742</v>
      </c>
      <c r="CT85" s="311"/>
      <c r="CU85" s="311"/>
      <c r="CV85" s="311"/>
      <c r="CW85" s="311"/>
      <c r="CX85" s="311"/>
      <c r="CY85" s="311"/>
      <c r="CZ85" s="311"/>
      <c r="DA85" s="311"/>
      <c r="DB85" s="311"/>
      <c r="DC85" s="311"/>
      <c r="DD85" s="311"/>
      <c r="DE85" s="316"/>
      <c r="DF85" s="314"/>
      <c r="DG85" s="314"/>
      <c r="DH85" s="314"/>
      <c r="DI85" s="314"/>
      <c r="DJ85" s="314"/>
      <c r="DK85" s="314">
        <v>0</v>
      </c>
      <c r="DL85" s="314">
        <v>0</v>
      </c>
      <c r="DM85" s="314">
        <v>0</v>
      </c>
      <c r="DN85" s="314">
        <v>0</v>
      </c>
      <c r="DO85" s="314">
        <v>0</v>
      </c>
      <c r="DP85" s="314">
        <v>0</v>
      </c>
      <c r="DQ85" s="314">
        <v>0</v>
      </c>
      <c r="DR85" s="314">
        <v>272376</v>
      </c>
      <c r="DS85" s="314">
        <v>0</v>
      </c>
      <c r="DT85" s="314">
        <v>0</v>
      </c>
      <c r="DU85" s="314">
        <v>-6003</v>
      </c>
      <c r="DV85" s="314">
        <v>0</v>
      </c>
      <c r="DW85" s="314">
        <v>272376</v>
      </c>
      <c r="DX85" s="314">
        <v>-6003</v>
      </c>
      <c r="DY85" s="314">
        <v>272376</v>
      </c>
      <c r="DZ85" s="314">
        <v>0</v>
      </c>
      <c r="EA85" s="314">
        <v>272376</v>
      </c>
      <c r="EB85" s="314">
        <v>-6003</v>
      </c>
      <c r="EC85" s="317">
        <v>0</v>
      </c>
      <c r="ED85" s="317">
        <v>0</v>
      </c>
      <c r="EE85" s="317">
        <v>0</v>
      </c>
      <c r="EF85" s="317">
        <v>0</v>
      </c>
      <c r="EG85" s="317">
        <v>0</v>
      </c>
      <c r="EH85" s="317">
        <v>0</v>
      </c>
      <c r="EI85" s="317">
        <v>0</v>
      </c>
      <c r="EJ85" s="317">
        <v>1</v>
      </c>
      <c r="EK85" s="317">
        <v>0</v>
      </c>
      <c r="EL85" s="317">
        <v>0</v>
      </c>
      <c r="EM85" s="317">
        <v>0</v>
      </c>
      <c r="EN85" s="317">
        <v>0</v>
      </c>
      <c r="EO85" s="317">
        <v>1</v>
      </c>
      <c r="EP85" s="317">
        <v>0</v>
      </c>
      <c r="EQ85" s="317">
        <v>1</v>
      </c>
      <c r="ER85" s="317">
        <v>0</v>
      </c>
      <c r="ES85" s="317">
        <v>1</v>
      </c>
      <c r="ET85" s="317">
        <v>0</v>
      </c>
    </row>
    <row r="86" spans="1:150" x14ac:dyDescent="0.25">
      <c r="A86" s="310">
        <v>8393</v>
      </c>
      <c r="B86" s="310">
        <v>2023</v>
      </c>
      <c r="C86" s="310" t="s">
        <v>10</v>
      </c>
      <c r="D86" s="310" t="s">
        <v>889</v>
      </c>
      <c r="E86" s="310">
        <v>62191</v>
      </c>
      <c r="F86" s="310" t="s">
        <v>759</v>
      </c>
      <c r="G86" s="310">
        <v>15473</v>
      </c>
      <c r="H86" s="310" t="s">
        <v>890</v>
      </c>
      <c r="I86" s="310">
        <v>61724</v>
      </c>
      <c r="J86" s="310" t="s">
        <v>748</v>
      </c>
      <c r="K86" s="310" t="s">
        <v>760</v>
      </c>
      <c r="L86" s="310" t="s">
        <v>761</v>
      </c>
      <c r="M86" s="310" t="s">
        <v>732</v>
      </c>
      <c r="N86" s="310" t="s">
        <v>733</v>
      </c>
      <c r="O86" s="310" t="s">
        <v>734</v>
      </c>
      <c r="P86" s="310"/>
      <c r="Q86" s="310" t="s">
        <v>735</v>
      </c>
      <c r="R86" s="310" t="s">
        <v>874</v>
      </c>
      <c r="S86" s="310" t="s">
        <v>875</v>
      </c>
      <c r="T86" s="310">
        <v>34.783205000000002</v>
      </c>
      <c r="U86" s="310">
        <v>-106.051092</v>
      </c>
      <c r="V86" s="310"/>
      <c r="W86" s="311">
        <v>1</v>
      </c>
      <c r="X86" s="311">
        <v>1</v>
      </c>
      <c r="Y86" s="310" t="s">
        <v>826</v>
      </c>
      <c r="Z86" s="310" t="s">
        <v>827</v>
      </c>
      <c r="AA86" s="310"/>
      <c r="AB86" s="312">
        <v>0.31467000000000001</v>
      </c>
      <c r="AC86" s="313">
        <v>2</v>
      </c>
      <c r="AD86" s="312"/>
      <c r="AE86" s="310"/>
      <c r="AF86" s="310"/>
      <c r="AG86" s="311"/>
      <c r="AH86" s="311"/>
      <c r="AI86" s="312"/>
      <c r="AJ86" s="310"/>
      <c r="AK86" s="314"/>
      <c r="AL86" s="314"/>
      <c r="AM86" s="314">
        <v>18811</v>
      </c>
      <c r="AN86" s="314">
        <v>9291</v>
      </c>
      <c r="AO86" s="314">
        <v>5513</v>
      </c>
      <c r="AP86" s="314">
        <v>2723</v>
      </c>
      <c r="AQ86" s="314"/>
      <c r="AR86" s="314"/>
      <c r="AS86" s="314"/>
      <c r="AT86" s="314"/>
      <c r="AU86" s="314"/>
      <c r="AV86" s="314"/>
      <c r="AW86" s="314"/>
      <c r="AX86" s="314"/>
      <c r="AY86" s="315"/>
      <c r="AZ86" s="315"/>
      <c r="BA86" s="315"/>
      <c r="BB86" s="315"/>
      <c r="BC86" s="315"/>
      <c r="BD86" s="315"/>
      <c r="BE86" s="315"/>
      <c r="BF86" s="315"/>
      <c r="BG86" s="315"/>
      <c r="BH86" s="315"/>
      <c r="BI86" s="315"/>
      <c r="BJ86" s="315"/>
      <c r="BK86" s="315"/>
      <c r="BL86" s="315"/>
      <c r="BM86" s="315"/>
      <c r="BN86" s="315"/>
      <c r="BO86" s="315"/>
      <c r="BP86" s="315"/>
      <c r="BQ86" s="315"/>
      <c r="BR86" s="315"/>
      <c r="BS86" s="315"/>
      <c r="BT86" s="315"/>
      <c r="BU86" s="315"/>
      <c r="BV86" s="315"/>
      <c r="BW86" s="311"/>
      <c r="BX86" s="311"/>
      <c r="BY86" s="311"/>
      <c r="BZ86" s="311"/>
      <c r="CA86" s="311"/>
      <c r="CB86" s="311"/>
      <c r="CC86" s="311"/>
      <c r="CD86" s="311"/>
      <c r="CE86" s="311"/>
      <c r="CF86" s="311"/>
      <c r="CG86" s="311"/>
      <c r="CH86" s="310">
        <v>18811</v>
      </c>
      <c r="CI86" s="310">
        <v>9291</v>
      </c>
      <c r="CJ86" s="310"/>
      <c r="CK86" s="310"/>
      <c r="CL86" s="310"/>
      <c r="CM86" s="310"/>
      <c r="CN86" s="310"/>
      <c r="CO86" s="310"/>
      <c r="CP86" s="310"/>
      <c r="CQ86" s="311" t="s">
        <v>744</v>
      </c>
      <c r="CR86" s="311" t="s">
        <v>742</v>
      </c>
      <c r="CS86" s="311" t="s">
        <v>742</v>
      </c>
      <c r="CT86" s="311"/>
      <c r="CU86" s="311"/>
      <c r="CV86" s="311"/>
      <c r="CW86" s="311"/>
      <c r="CX86" s="311"/>
      <c r="CY86" s="311"/>
      <c r="CZ86" s="311"/>
      <c r="DA86" s="311"/>
      <c r="DB86" s="311"/>
      <c r="DC86" s="311"/>
      <c r="DD86" s="311"/>
      <c r="DE86" s="316"/>
      <c r="DF86" s="314"/>
      <c r="DG86" s="314"/>
      <c r="DH86" s="314"/>
      <c r="DI86" s="314"/>
      <c r="DJ86" s="314"/>
      <c r="DK86" s="314">
        <v>0</v>
      </c>
      <c r="DL86" s="314">
        <v>0</v>
      </c>
      <c r="DM86" s="314">
        <v>0</v>
      </c>
      <c r="DN86" s="314">
        <v>0</v>
      </c>
      <c r="DO86" s="314">
        <v>0</v>
      </c>
      <c r="DP86" s="314">
        <v>0</v>
      </c>
      <c r="DQ86" s="314">
        <v>0</v>
      </c>
      <c r="DR86" s="314">
        <v>5513</v>
      </c>
      <c r="DS86" s="314">
        <v>0</v>
      </c>
      <c r="DT86" s="314">
        <v>0</v>
      </c>
      <c r="DU86" s="314">
        <v>0</v>
      </c>
      <c r="DV86" s="314">
        <v>0</v>
      </c>
      <c r="DW86" s="314">
        <v>5513</v>
      </c>
      <c r="DX86" s="314">
        <v>0</v>
      </c>
      <c r="DY86" s="314">
        <v>5513</v>
      </c>
      <c r="DZ86" s="314">
        <v>0</v>
      </c>
      <c r="EA86" s="314">
        <v>5513</v>
      </c>
      <c r="EB86" s="314">
        <v>0</v>
      </c>
      <c r="EC86" s="317">
        <v>0</v>
      </c>
      <c r="ED86" s="317">
        <v>0</v>
      </c>
      <c r="EE86" s="317">
        <v>0</v>
      </c>
      <c r="EF86" s="317">
        <v>0</v>
      </c>
      <c r="EG86" s="317">
        <v>0</v>
      </c>
      <c r="EH86" s="317">
        <v>0</v>
      </c>
      <c r="EI86" s="317">
        <v>0</v>
      </c>
      <c r="EJ86" s="317">
        <v>1</v>
      </c>
      <c r="EK86" s="317">
        <v>0</v>
      </c>
      <c r="EL86" s="317">
        <v>0</v>
      </c>
      <c r="EM86" s="317">
        <v>0</v>
      </c>
      <c r="EN86" s="317">
        <v>0</v>
      </c>
      <c r="EO86" s="317">
        <v>1</v>
      </c>
      <c r="EP86" s="317">
        <v>0</v>
      </c>
      <c r="EQ86" s="317">
        <v>1</v>
      </c>
      <c r="ER86" s="317">
        <v>0</v>
      </c>
      <c r="ES86" s="317">
        <v>1</v>
      </c>
      <c r="ET86" s="317">
        <v>0</v>
      </c>
    </row>
    <row r="87" spans="1:150" x14ac:dyDescent="0.25">
      <c r="A87" s="310">
        <v>8394</v>
      </c>
      <c r="B87" s="310">
        <v>2023</v>
      </c>
      <c r="C87" s="310" t="s">
        <v>10</v>
      </c>
      <c r="D87" s="310" t="s">
        <v>891</v>
      </c>
      <c r="E87" s="310">
        <v>59251</v>
      </c>
      <c r="F87" s="310" t="s">
        <v>746</v>
      </c>
      <c r="G87" s="310">
        <v>17718</v>
      </c>
      <c r="H87" s="310" t="s">
        <v>892</v>
      </c>
      <c r="I87" s="310">
        <v>65411</v>
      </c>
      <c r="J87" s="310" t="s">
        <v>748</v>
      </c>
      <c r="K87" s="310" t="s">
        <v>749</v>
      </c>
      <c r="L87" s="310" t="s">
        <v>750</v>
      </c>
      <c r="M87" s="310" t="s">
        <v>751</v>
      </c>
      <c r="N87" s="310" t="s">
        <v>752</v>
      </c>
      <c r="O87" s="310" t="s">
        <v>753</v>
      </c>
      <c r="P87" s="310"/>
      <c r="Q87" s="310" t="s">
        <v>735</v>
      </c>
      <c r="R87" s="310" t="s">
        <v>789</v>
      </c>
      <c r="S87" s="310" t="s">
        <v>790</v>
      </c>
      <c r="T87" s="310">
        <v>34.982778000000003</v>
      </c>
      <c r="U87" s="310">
        <v>-103.378333</v>
      </c>
      <c r="V87" s="310"/>
      <c r="W87" s="311">
        <v>1</v>
      </c>
      <c r="X87" s="311">
        <v>1</v>
      </c>
      <c r="Y87" s="310" t="s">
        <v>826</v>
      </c>
      <c r="Z87" s="310" t="s">
        <v>827</v>
      </c>
      <c r="AA87" s="310"/>
      <c r="AB87" s="312">
        <v>0.28455000000000003</v>
      </c>
      <c r="AC87" s="313">
        <v>25</v>
      </c>
      <c r="AD87" s="312"/>
      <c r="AE87" s="310"/>
      <c r="AF87" s="310"/>
      <c r="AG87" s="311"/>
      <c r="AH87" s="311"/>
      <c r="AI87" s="312"/>
      <c r="AJ87" s="310"/>
      <c r="AK87" s="314"/>
      <c r="AL87" s="314"/>
      <c r="AM87" s="314">
        <v>212623</v>
      </c>
      <c r="AN87" s="314">
        <v>107368</v>
      </c>
      <c r="AO87" s="314">
        <v>62316</v>
      </c>
      <c r="AP87" s="314">
        <v>31468</v>
      </c>
      <c r="AQ87" s="314"/>
      <c r="AR87" s="314"/>
      <c r="AS87" s="314"/>
      <c r="AT87" s="314"/>
      <c r="AU87" s="314"/>
      <c r="AV87" s="314"/>
      <c r="AW87" s="314"/>
      <c r="AX87" s="314"/>
      <c r="AY87" s="315"/>
      <c r="AZ87" s="315"/>
      <c r="BA87" s="315"/>
      <c r="BB87" s="315"/>
      <c r="BC87" s="315"/>
      <c r="BD87" s="315"/>
      <c r="BE87" s="315"/>
      <c r="BF87" s="315"/>
      <c r="BG87" s="315"/>
      <c r="BH87" s="315"/>
      <c r="BI87" s="315"/>
      <c r="BJ87" s="315"/>
      <c r="BK87" s="315"/>
      <c r="BL87" s="315"/>
      <c r="BM87" s="315"/>
      <c r="BN87" s="315"/>
      <c r="BO87" s="315"/>
      <c r="BP87" s="315"/>
      <c r="BQ87" s="315"/>
      <c r="BR87" s="315"/>
      <c r="BS87" s="315"/>
      <c r="BT87" s="315"/>
      <c r="BU87" s="315"/>
      <c r="BV87" s="315"/>
      <c r="BW87" s="311"/>
      <c r="BX87" s="311"/>
      <c r="BY87" s="311"/>
      <c r="BZ87" s="311"/>
      <c r="CA87" s="311"/>
      <c r="CB87" s="311"/>
      <c r="CC87" s="311"/>
      <c r="CD87" s="311"/>
      <c r="CE87" s="311"/>
      <c r="CF87" s="311"/>
      <c r="CG87" s="311"/>
      <c r="CH87" s="310">
        <v>212623</v>
      </c>
      <c r="CI87" s="310">
        <v>107368</v>
      </c>
      <c r="CJ87" s="310"/>
      <c r="CK87" s="310"/>
      <c r="CL87" s="310"/>
      <c r="CM87" s="310"/>
      <c r="CN87" s="310"/>
      <c r="CO87" s="310"/>
      <c r="CP87" s="310"/>
      <c r="CQ87" s="311" t="s">
        <v>744</v>
      </c>
      <c r="CR87" s="311" t="s">
        <v>742</v>
      </c>
      <c r="CS87" s="311" t="s">
        <v>742</v>
      </c>
      <c r="CT87" s="311"/>
      <c r="CU87" s="311"/>
      <c r="CV87" s="311"/>
      <c r="CW87" s="311"/>
      <c r="CX87" s="311"/>
      <c r="CY87" s="311"/>
      <c r="CZ87" s="311"/>
      <c r="DA87" s="311"/>
      <c r="DB87" s="311"/>
      <c r="DC87" s="311"/>
      <c r="DD87" s="311"/>
      <c r="DE87" s="316"/>
      <c r="DF87" s="314"/>
      <c r="DG87" s="314"/>
      <c r="DH87" s="314"/>
      <c r="DI87" s="314"/>
      <c r="DJ87" s="314"/>
      <c r="DK87" s="314">
        <v>0</v>
      </c>
      <c r="DL87" s="314">
        <v>0</v>
      </c>
      <c r="DM87" s="314">
        <v>0</v>
      </c>
      <c r="DN87" s="314">
        <v>0</v>
      </c>
      <c r="DO87" s="314">
        <v>0</v>
      </c>
      <c r="DP87" s="314">
        <v>0</v>
      </c>
      <c r="DQ87" s="314">
        <v>0</v>
      </c>
      <c r="DR87" s="314">
        <v>62316</v>
      </c>
      <c r="DS87" s="314">
        <v>0</v>
      </c>
      <c r="DT87" s="314">
        <v>0</v>
      </c>
      <c r="DU87" s="314">
        <v>0</v>
      </c>
      <c r="DV87" s="314">
        <v>0</v>
      </c>
      <c r="DW87" s="314">
        <v>62316</v>
      </c>
      <c r="DX87" s="314">
        <v>0</v>
      </c>
      <c r="DY87" s="314">
        <v>62316</v>
      </c>
      <c r="DZ87" s="314">
        <v>0</v>
      </c>
      <c r="EA87" s="314">
        <v>62316</v>
      </c>
      <c r="EB87" s="314">
        <v>0</v>
      </c>
      <c r="EC87" s="317">
        <v>0</v>
      </c>
      <c r="ED87" s="317">
        <v>0</v>
      </c>
      <c r="EE87" s="317">
        <v>0</v>
      </c>
      <c r="EF87" s="317">
        <v>0</v>
      </c>
      <c r="EG87" s="317">
        <v>0</v>
      </c>
      <c r="EH87" s="317">
        <v>0</v>
      </c>
      <c r="EI87" s="317">
        <v>0</v>
      </c>
      <c r="EJ87" s="317">
        <v>1</v>
      </c>
      <c r="EK87" s="317">
        <v>0</v>
      </c>
      <c r="EL87" s="317">
        <v>0</v>
      </c>
      <c r="EM87" s="317">
        <v>0</v>
      </c>
      <c r="EN87" s="317">
        <v>0</v>
      </c>
      <c r="EO87" s="317">
        <v>1</v>
      </c>
      <c r="EP87" s="317">
        <v>0</v>
      </c>
      <c r="EQ87" s="317">
        <v>1</v>
      </c>
      <c r="ER87" s="317">
        <v>0</v>
      </c>
      <c r="ES87" s="317">
        <v>1</v>
      </c>
      <c r="ET87" s="317">
        <v>0</v>
      </c>
    </row>
    <row r="88" spans="1:150" x14ac:dyDescent="0.25">
      <c r="A88" s="310">
        <v>8395</v>
      </c>
      <c r="B88" s="310">
        <v>2023</v>
      </c>
      <c r="C88" s="310" t="s">
        <v>10</v>
      </c>
      <c r="D88" s="310" t="s">
        <v>893</v>
      </c>
      <c r="E88" s="310">
        <v>56293</v>
      </c>
      <c r="F88" s="310" t="s">
        <v>746</v>
      </c>
      <c r="G88" s="310">
        <v>17718</v>
      </c>
      <c r="H88" s="310" t="s">
        <v>849</v>
      </c>
      <c r="I88" s="310">
        <v>50123</v>
      </c>
      <c r="J88" s="310" t="s">
        <v>748</v>
      </c>
      <c r="K88" s="310" t="s">
        <v>749</v>
      </c>
      <c r="L88" s="310" t="s">
        <v>750</v>
      </c>
      <c r="M88" s="310" t="s">
        <v>751</v>
      </c>
      <c r="N88" s="310" t="s">
        <v>752</v>
      </c>
      <c r="O88" s="310" t="s">
        <v>753</v>
      </c>
      <c r="P88" s="310"/>
      <c r="Q88" s="310" t="s">
        <v>735</v>
      </c>
      <c r="R88" s="310" t="s">
        <v>789</v>
      </c>
      <c r="S88" s="310" t="s">
        <v>790</v>
      </c>
      <c r="T88" s="310">
        <v>34.980556</v>
      </c>
      <c r="U88" s="310">
        <v>-103.353889</v>
      </c>
      <c r="V88" s="310"/>
      <c r="W88" s="311">
        <v>2</v>
      </c>
      <c r="X88" s="311">
        <v>2</v>
      </c>
      <c r="Y88" s="310" t="s">
        <v>840</v>
      </c>
      <c r="Z88" s="310" t="s">
        <v>841</v>
      </c>
      <c r="AA88" s="310"/>
      <c r="AB88" s="312">
        <v>0.35886000000000001</v>
      </c>
      <c r="AC88" s="313">
        <v>80</v>
      </c>
      <c r="AD88" s="312"/>
      <c r="AE88" s="310"/>
      <c r="AF88" s="310"/>
      <c r="AG88" s="311"/>
      <c r="AH88" s="311"/>
      <c r="AI88" s="312"/>
      <c r="AJ88" s="310"/>
      <c r="AK88" s="314"/>
      <c r="AL88" s="314"/>
      <c r="AM88" s="314">
        <v>858091</v>
      </c>
      <c r="AN88" s="314">
        <v>214359</v>
      </c>
      <c r="AO88" s="314">
        <v>251492</v>
      </c>
      <c r="AP88" s="314">
        <v>62825</v>
      </c>
      <c r="AQ88" s="314"/>
      <c r="AR88" s="314"/>
      <c r="AS88" s="314"/>
      <c r="AT88" s="314"/>
      <c r="AU88" s="314"/>
      <c r="AV88" s="314"/>
      <c r="AW88" s="314"/>
      <c r="AX88" s="314"/>
      <c r="AY88" s="315"/>
      <c r="AZ88" s="315"/>
      <c r="BA88" s="315"/>
      <c r="BB88" s="315"/>
      <c r="BC88" s="315"/>
      <c r="BD88" s="315"/>
      <c r="BE88" s="315"/>
      <c r="BF88" s="315"/>
      <c r="BG88" s="315"/>
      <c r="BH88" s="315"/>
      <c r="BI88" s="315"/>
      <c r="BJ88" s="315"/>
      <c r="BK88" s="315"/>
      <c r="BL88" s="315"/>
      <c r="BM88" s="315"/>
      <c r="BN88" s="315"/>
      <c r="BO88" s="315"/>
      <c r="BP88" s="315"/>
      <c r="BQ88" s="315"/>
      <c r="BR88" s="315"/>
      <c r="BS88" s="315"/>
      <c r="BT88" s="315"/>
      <c r="BU88" s="315"/>
      <c r="BV88" s="315"/>
      <c r="BW88" s="311"/>
      <c r="BX88" s="311"/>
      <c r="BY88" s="311"/>
      <c r="BZ88" s="311"/>
      <c r="CA88" s="311"/>
      <c r="CB88" s="311"/>
      <c r="CC88" s="311"/>
      <c r="CD88" s="311"/>
      <c r="CE88" s="311"/>
      <c r="CF88" s="311"/>
      <c r="CG88" s="311"/>
      <c r="CH88" s="310">
        <v>858091</v>
      </c>
      <c r="CI88" s="310">
        <v>214359</v>
      </c>
      <c r="CJ88" s="310"/>
      <c r="CK88" s="310"/>
      <c r="CL88" s="310"/>
      <c r="CM88" s="310"/>
      <c r="CN88" s="310"/>
      <c r="CO88" s="310"/>
      <c r="CP88" s="310"/>
      <c r="CQ88" s="311" t="s">
        <v>744</v>
      </c>
      <c r="CR88" s="311" t="s">
        <v>742</v>
      </c>
      <c r="CS88" s="311" t="s">
        <v>742</v>
      </c>
      <c r="CT88" s="311"/>
      <c r="CU88" s="311"/>
      <c r="CV88" s="311"/>
      <c r="CW88" s="311"/>
      <c r="CX88" s="311"/>
      <c r="CY88" s="311"/>
      <c r="CZ88" s="311"/>
      <c r="DA88" s="311"/>
      <c r="DB88" s="311"/>
      <c r="DC88" s="311"/>
      <c r="DD88" s="311"/>
      <c r="DE88" s="316"/>
      <c r="DF88" s="314"/>
      <c r="DG88" s="314"/>
      <c r="DH88" s="314"/>
      <c r="DI88" s="314"/>
      <c r="DJ88" s="314"/>
      <c r="DK88" s="314">
        <v>0</v>
      </c>
      <c r="DL88" s="314">
        <v>0</v>
      </c>
      <c r="DM88" s="314">
        <v>0</v>
      </c>
      <c r="DN88" s="314">
        <v>0</v>
      </c>
      <c r="DO88" s="314">
        <v>0</v>
      </c>
      <c r="DP88" s="314">
        <v>0</v>
      </c>
      <c r="DQ88" s="314">
        <v>251492</v>
      </c>
      <c r="DR88" s="314">
        <v>0</v>
      </c>
      <c r="DS88" s="314">
        <v>0</v>
      </c>
      <c r="DT88" s="314">
        <v>0</v>
      </c>
      <c r="DU88" s="314">
        <v>0</v>
      </c>
      <c r="DV88" s="314">
        <v>0</v>
      </c>
      <c r="DW88" s="314">
        <v>251492</v>
      </c>
      <c r="DX88" s="314">
        <v>0</v>
      </c>
      <c r="DY88" s="314">
        <v>251492</v>
      </c>
      <c r="DZ88" s="314">
        <v>0</v>
      </c>
      <c r="EA88" s="314">
        <v>251492</v>
      </c>
      <c r="EB88" s="314">
        <v>0</v>
      </c>
      <c r="EC88" s="317">
        <v>0</v>
      </c>
      <c r="ED88" s="317">
        <v>0</v>
      </c>
      <c r="EE88" s="317">
        <v>0</v>
      </c>
      <c r="EF88" s="317">
        <v>0</v>
      </c>
      <c r="EG88" s="317">
        <v>0</v>
      </c>
      <c r="EH88" s="317">
        <v>0</v>
      </c>
      <c r="EI88" s="317">
        <v>1</v>
      </c>
      <c r="EJ88" s="317">
        <v>0</v>
      </c>
      <c r="EK88" s="317">
        <v>0</v>
      </c>
      <c r="EL88" s="317">
        <v>0</v>
      </c>
      <c r="EM88" s="317">
        <v>0</v>
      </c>
      <c r="EN88" s="317">
        <v>0</v>
      </c>
      <c r="EO88" s="317">
        <v>1</v>
      </c>
      <c r="EP88" s="317">
        <v>0</v>
      </c>
      <c r="EQ88" s="317">
        <v>1</v>
      </c>
      <c r="ER88" s="317">
        <v>0</v>
      </c>
      <c r="ES88" s="317">
        <v>1</v>
      </c>
      <c r="ET88" s="317">
        <v>0</v>
      </c>
    </row>
    <row r="89" spans="1:150" x14ac:dyDescent="0.25">
      <c r="A89" s="310">
        <v>8396</v>
      </c>
      <c r="B89" s="310">
        <v>2023</v>
      </c>
      <c r="C89" s="310" t="s">
        <v>10</v>
      </c>
      <c r="D89" s="310" t="s">
        <v>894</v>
      </c>
      <c r="E89" s="310">
        <v>61662</v>
      </c>
      <c r="F89" s="310" t="s">
        <v>781</v>
      </c>
      <c r="G89" s="310">
        <v>30151</v>
      </c>
      <c r="H89" s="310" t="s">
        <v>895</v>
      </c>
      <c r="I89" s="310">
        <v>60520</v>
      </c>
      <c r="J89" s="310" t="s">
        <v>748</v>
      </c>
      <c r="K89" s="310" t="s">
        <v>760</v>
      </c>
      <c r="L89" s="310" t="s">
        <v>761</v>
      </c>
      <c r="M89" s="310" t="s">
        <v>732</v>
      </c>
      <c r="N89" s="310" t="s">
        <v>733</v>
      </c>
      <c r="O89" s="310" t="s">
        <v>734</v>
      </c>
      <c r="P89" s="310"/>
      <c r="Q89" s="310" t="s">
        <v>735</v>
      </c>
      <c r="R89" s="310" t="s">
        <v>896</v>
      </c>
      <c r="S89" s="310" t="s">
        <v>897</v>
      </c>
      <c r="T89" s="310">
        <v>33.610306000000001</v>
      </c>
      <c r="U89" s="310">
        <v>-105.74782500000001</v>
      </c>
      <c r="V89" s="310"/>
      <c r="W89" s="311">
        <v>1</v>
      </c>
      <c r="X89" s="311">
        <v>1</v>
      </c>
      <c r="Y89" s="310" t="s">
        <v>826</v>
      </c>
      <c r="Z89" s="310" t="s">
        <v>827</v>
      </c>
      <c r="AA89" s="310"/>
      <c r="AB89" s="312">
        <v>5.7340000000000002E-2</v>
      </c>
      <c r="AC89" s="313">
        <v>3</v>
      </c>
      <c r="AD89" s="312"/>
      <c r="AE89" s="310"/>
      <c r="AF89" s="310"/>
      <c r="AG89" s="311"/>
      <c r="AH89" s="311"/>
      <c r="AI89" s="312"/>
      <c r="AJ89" s="310"/>
      <c r="AK89" s="314"/>
      <c r="AL89" s="314"/>
      <c r="AM89" s="314">
        <v>5142</v>
      </c>
      <c r="AN89" s="314">
        <v>1525</v>
      </c>
      <c r="AO89" s="314">
        <v>1507</v>
      </c>
      <c r="AP89" s="314">
        <v>447</v>
      </c>
      <c r="AQ89" s="314"/>
      <c r="AR89" s="314"/>
      <c r="AS89" s="314"/>
      <c r="AT89" s="314"/>
      <c r="AU89" s="314"/>
      <c r="AV89" s="314"/>
      <c r="AW89" s="314"/>
      <c r="AX89" s="314"/>
      <c r="AY89" s="315"/>
      <c r="AZ89" s="315"/>
      <c r="BA89" s="315"/>
      <c r="BB89" s="315"/>
      <c r="BC89" s="315"/>
      <c r="BD89" s="315"/>
      <c r="BE89" s="315"/>
      <c r="BF89" s="315"/>
      <c r="BG89" s="315"/>
      <c r="BH89" s="315"/>
      <c r="BI89" s="315"/>
      <c r="BJ89" s="315"/>
      <c r="BK89" s="315"/>
      <c r="BL89" s="315"/>
      <c r="BM89" s="315"/>
      <c r="BN89" s="315"/>
      <c r="BO89" s="315"/>
      <c r="BP89" s="315"/>
      <c r="BQ89" s="315"/>
      <c r="BR89" s="315"/>
      <c r="BS89" s="315"/>
      <c r="BT89" s="315"/>
      <c r="BU89" s="315"/>
      <c r="BV89" s="315"/>
      <c r="BW89" s="311"/>
      <c r="BX89" s="311"/>
      <c r="BY89" s="311"/>
      <c r="BZ89" s="311"/>
      <c r="CA89" s="311"/>
      <c r="CB89" s="311"/>
      <c r="CC89" s="311"/>
      <c r="CD89" s="311"/>
      <c r="CE89" s="311"/>
      <c r="CF89" s="311"/>
      <c r="CG89" s="311"/>
      <c r="CH89" s="310">
        <v>5142</v>
      </c>
      <c r="CI89" s="310">
        <v>1525</v>
      </c>
      <c r="CJ89" s="310"/>
      <c r="CK89" s="310"/>
      <c r="CL89" s="310"/>
      <c r="CM89" s="310"/>
      <c r="CN89" s="310"/>
      <c r="CO89" s="310"/>
      <c r="CP89" s="310"/>
      <c r="CQ89" s="311" t="s">
        <v>744</v>
      </c>
      <c r="CR89" s="311" t="s">
        <v>742</v>
      </c>
      <c r="CS89" s="311" t="s">
        <v>742</v>
      </c>
      <c r="CT89" s="311"/>
      <c r="CU89" s="311"/>
      <c r="CV89" s="311"/>
      <c r="CW89" s="311"/>
      <c r="CX89" s="311"/>
      <c r="CY89" s="311"/>
      <c r="CZ89" s="311"/>
      <c r="DA89" s="311"/>
      <c r="DB89" s="311"/>
      <c r="DC89" s="311"/>
      <c r="DD89" s="311"/>
      <c r="DE89" s="316"/>
      <c r="DF89" s="314"/>
      <c r="DG89" s="314"/>
      <c r="DH89" s="314"/>
      <c r="DI89" s="314"/>
      <c r="DJ89" s="314"/>
      <c r="DK89" s="314">
        <v>0</v>
      </c>
      <c r="DL89" s="314">
        <v>0</v>
      </c>
      <c r="DM89" s="314">
        <v>0</v>
      </c>
      <c r="DN89" s="314">
        <v>0</v>
      </c>
      <c r="DO89" s="314">
        <v>0</v>
      </c>
      <c r="DP89" s="314">
        <v>0</v>
      </c>
      <c r="DQ89" s="314">
        <v>0</v>
      </c>
      <c r="DR89" s="314">
        <v>1507</v>
      </c>
      <c r="DS89" s="314">
        <v>0</v>
      </c>
      <c r="DT89" s="314">
        <v>0</v>
      </c>
      <c r="DU89" s="314">
        <v>0</v>
      </c>
      <c r="DV89" s="314">
        <v>0</v>
      </c>
      <c r="DW89" s="314">
        <v>1507</v>
      </c>
      <c r="DX89" s="314">
        <v>0</v>
      </c>
      <c r="DY89" s="314">
        <v>1507</v>
      </c>
      <c r="DZ89" s="314">
        <v>0</v>
      </c>
      <c r="EA89" s="314">
        <v>1507</v>
      </c>
      <c r="EB89" s="314">
        <v>0</v>
      </c>
      <c r="EC89" s="317">
        <v>0</v>
      </c>
      <c r="ED89" s="317">
        <v>0</v>
      </c>
      <c r="EE89" s="317">
        <v>0</v>
      </c>
      <c r="EF89" s="317">
        <v>0</v>
      </c>
      <c r="EG89" s="317">
        <v>0</v>
      </c>
      <c r="EH89" s="317">
        <v>0</v>
      </c>
      <c r="EI89" s="317">
        <v>0</v>
      </c>
      <c r="EJ89" s="317">
        <v>1</v>
      </c>
      <c r="EK89" s="317">
        <v>0</v>
      </c>
      <c r="EL89" s="317">
        <v>0</v>
      </c>
      <c r="EM89" s="317">
        <v>0</v>
      </c>
      <c r="EN89" s="317">
        <v>0</v>
      </c>
      <c r="EO89" s="317">
        <v>1</v>
      </c>
      <c r="EP89" s="317">
        <v>0</v>
      </c>
      <c r="EQ89" s="317">
        <v>1</v>
      </c>
      <c r="ER89" s="317">
        <v>0</v>
      </c>
      <c r="ES89" s="317">
        <v>1</v>
      </c>
      <c r="ET89" s="317">
        <v>0</v>
      </c>
    </row>
    <row r="90" spans="1:150" x14ac:dyDescent="0.25">
      <c r="A90" s="310">
        <v>8397</v>
      </c>
      <c r="B90" s="310">
        <v>2023</v>
      </c>
      <c r="C90" s="310" t="s">
        <v>10</v>
      </c>
      <c r="D90" s="310" t="s">
        <v>898</v>
      </c>
      <c r="E90" s="310">
        <v>61925</v>
      </c>
      <c r="F90" s="310" t="s">
        <v>759</v>
      </c>
      <c r="G90" s="310">
        <v>15473</v>
      </c>
      <c r="H90" s="310" t="s">
        <v>899</v>
      </c>
      <c r="I90" s="310">
        <v>61531</v>
      </c>
      <c r="J90" s="310" t="s">
        <v>748</v>
      </c>
      <c r="K90" s="310" t="s">
        <v>760</v>
      </c>
      <c r="L90" s="310" t="s">
        <v>761</v>
      </c>
      <c r="M90" s="310" t="s">
        <v>732</v>
      </c>
      <c r="N90" s="310" t="s">
        <v>733</v>
      </c>
      <c r="O90" s="310" t="s">
        <v>734</v>
      </c>
      <c r="P90" s="310"/>
      <c r="Q90" s="310" t="s">
        <v>735</v>
      </c>
      <c r="R90" s="310" t="s">
        <v>789</v>
      </c>
      <c r="S90" s="310" t="s">
        <v>790</v>
      </c>
      <c r="T90" s="310">
        <v>34.604989000000003</v>
      </c>
      <c r="U90" s="310">
        <v>-103.966089</v>
      </c>
      <c r="V90" s="310"/>
      <c r="W90" s="311">
        <v>2</v>
      </c>
      <c r="X90" s="311">
        <v>2</v>
      </c>
      <c r="Y90" s="310" t="s">
        <v>840</v>
      </c>
      <c r="Z90" s="310" t="s">
        <v>841</v>
      </c>
      <c r="AA90" s="310"/>
      <c r="AB90" s="312">
        <v>0.39201000000000003</v>
      </c>
      <c r="AC90" s="313">
        <v>51.9</v>
      </c>
      <c r="AD90" s="312"/>
      <c r="AE90" s="310"/>
      <c r="AF90" s="310"/>
      <c r="AG90" s="311"/>
      <c r="AH90" s="311"/>
      <c r="AI90" s="312"/>
      <c r="AJ90" s="310"/>
      <c r="AK90" s="314"/>
      <c r="AL90" s="314"/>
      <c r="AM90" s="314">
        <v>608637</v>
      </c>
      <c r="AN90" s="314">
        <v>236865</v>
      </c>
      <c r="AO90" s="314">
        <v>178224</v>
      </c>
      <c r="AP90" s="314">
        <v>69353</v>
      </c>
      <c r="AQ90" s="314"/>
      <c r="AR90" s="314"/>
      <c r="AS90" s="314"/>
      <c r="AT90" s="314"/>
      <c r="AU90" s="314"/>
      <c r="AV90" s="314"/>
      <c r="AW90" s="314"/>
      <c r="AX90" s="314"/>
      <c r="AY90" s="315"/>
      <c r="AZ90" s="315"/>
      <c r="BA90" s="315"/>
      <c r="BB90" s="315"/>
      <c r="BC90" s="315"/>
      <c r="BD90" s="315"/>
      <c r="BE90" s="315"/>
      <c r="BF90" s="315"/>
      <c r="BG90" s="315"/>
      <c r="BH90" s="315"/>
      <c r="BI90" s="315"/>
      <c r="BJ90" s="315"/>
      <c r="BK90" s="315"/>
      <c r="BL90" s="315"/>
      <c r="BM90" s="315"/>
      <c r="BN90" s="315"/>
      <c r="BO90" s="315"/>
      <c r="BP90" s="315"/>
      <c r="BQ90" s="315"/>
      <c r="BR90" s="315"/>
      <c r="BS90" s="315"/>
      <c r="BT90" s="315"/>
      <c r="BU90" s="315"/>
      <c r="BV90" s="315"/>
      <c r="BW90" s="311"/>
      <c r="BX90" s="311"/>
      <c r="BY90" s="311"/>
      <c r="BZ90" s="311"/>
      <c r="CA90" s="311"/>
      <c r="CB90" s="311"/>
      <c r="CC90" s="311"/>
      <c r="CD90" s="311"/>
      <c r="CE90" s="311"/>
      <c r="CF90" s="311"/>
      <c r="CG90" s="311"/>
      <c r="CH90" s="310">
        <v>608637</v>
      </c>
      <c r="CI90" s="310">
        <v>236865</v>
      </c>
      <c r="CJ90" s="310"/>
      <c r="CK90" s="310"/>
      <c r="CL90" s="310"/>
      <c r="CM90" s="310"/>
      <c r="CN90" s="310"/>
      <c r="CO90" s="310"/>
      <c r="CP90" s="310"/>
      <c r="CQ90" s="311" t="s">
        <v>744</v>
      </c>
      <c r="CR90" s="311" t="s">
        <v>742</v>
      </c>
      <c r="CS90" s="311" t="s">
        <v>742</v>
      </c>
      <c r="CT90" s="311"/>
      <c r="CU90" s="311"/>
      <c r="CV90" s="311"/>
      <c r="CW90" s="311"/>
      <c r="CX90" s="311"/>
      <c r="CY90" s="311"/>
      <c r="CZ90" s="311"/>
      <c r="DA90" s="311"/>
      <c r="DB90" s="311"/>
      <c r="DC90" s="311"/>
      <c r="DD90" s="311"/>
      <c r="DE90" s="316"/>
      <c r="DF90" s="314"/>
      <c r="DG90" s="314"/>
      <c r="DH90" s="314"/>
      <c r="DI90" s="314"/>
      <c r="DJ90" s="314"/>
      <c r="DK90" s="314">
        <v>0</v>
      </c>
      <c r="DL90" s="314">
        <v>0</v>
      </c>
      <c r="DM90" s="314">
        <v>0</v>
      </c>
      <c r="DN90" s="314">
        <v>0</v>
      </c>
      <c r="DO90" s="314">
        <v>0</v>
      </c>
      <c r="DP90" s="314">
        <v>0</v>
      </c>
      <c r="DQ90" s="314">
        <v>178381</v>
      </c>
      <c r="DR90" s="314">
        <v>0</v>
      </c>
      <c r="DS90" s="314">
        <v>0</v>
      </c>
      <c r="DT90" s="314">
        <v>0</v>
      </c>
      <c r="DU90" s="314">
        <v>-157</v>
      </c>
      <c r="DV90" s="314">
        <v>0</v>
      </c>
      <c r="DW90" s="314">
        <v>178381</v>
      </c>
      <c r="DX90" s="314">
        <v>-157</v>
      </c>
      <c r="DY90" s="314">
        <v>178381</v>
      </c>
      <c r="DZ90" s="314">
        <v>0</v>
      </c>
      <c r="EA90" s="314">
        <v>178381</v>
      </c>
      <c r="EB90" s="314">
        <v>-157</v>
      </c>
      <c r="EC90" s="317">
        <v>0</v>
      </c>
      <c r="ED90" s="317">
        <v>0</v>
      </c>
      <c r="EE90" s="317">
        <v>0</v>
      </c>
      <c r="EF90" s="317">
        <v>0</v>
      </c>
      <c r="EG90" s="317">
        <v>0</v>
      </c>
      <c r="EH90" s="317">
        <v>0</v>
      </c>
      <c r="EI90" s="317">
        <v>1</v>
      </c>
      <c r="EJ90" s="317">
        <v>0</v>
      </c>
      <c r="EK90" s="317">
        <v>0</v>
      </c>
      <c r="EL90" s="317">
        <v>0</v>
      </c>
      <c r="EM90" s="317">
        <v>0</v>
      </c>
      <c r="EN90" s="317">
        <v>0</v>
      </c>
      <c r="EO90" s="317">
        <v>1</v>
      </c>
      <c r="EP90" s="317">
        <v>0</v>
      </c>
      <c r="EQ90" s="317">
        <v>1</v>
      </c>
      <c r="ER90" s="317">
        <v>0</v>
      </c>
      <c r="ES90" s="317">
        <v>1</v>
      </c>
      <c r="ET90" s="317">
        <v>0</v>
      </c>
    </row>
    <row r="91" spans="1:150" x14ac:dyDescent="0.25">
      <c r="A91" s="310">
        <v>8398</v>
      </c>
      <c r="B91" s="310">
        <v>2023</v>
      </c>
      <c r="C91" s="310" t="s">
        <v>10</v>
      </c>
      <c r="D91" s="310" t="s">
        <v>900</v>
      </c>
      <c r="E91" s="310">
        <v>66405</v>
      </c>
      <c r="F91" s="310" t="s">
        <v>746</v>
      </c>
      <c r="G91" s="310">
        <v>17718</v>
      </c>
      <c r="H91" s="310" t="s">
        <v>901</v>
      </c>
      <c r="I91" s="310">
        <v>65487</v>
      </c>
      <c r="J91" s="310" t="s">
        <v>748</v>
      </c>
      <c r="K91" s="310" t="s">
        <v>749</v>
      </c>
      <c r="L91" s="310" t="s">
        <v>750</v>
      </c>
      <c r="M91" s="310" t="s">
        <v>732</v>
      </c>
      <c r="N91" s="310" t="s">
        <v>752</v>
      </c>
      <c r="O91" s="310" t="s">
        <v>753</v>
      </c>
      <c r="P91" s="310"/>
      <c r="Q91" s="310" t="s">
        <v>735</v>
      </c>
      <c r="R91" s="310" t="s">
        <v>838</v>
      </c>
      <c r="S91" s="310" t="s">
        <v>839</v>
      </c>
      <c r="T91" s="310">
        <v>33.434334999999997</v>
      </c>
      <c r="U91" s="310">
        <v>-104.44756099999999</v>
      </c>
      <c r="V91" s="310"/>
      <c r="W91" s="311">
        <v>1</v>
      </c>
      <c r="X91" s="311">
        <v>1</v>
      </c>
      <c r="Y91" s="310" t="s">
        <v>826</v>
      </c>
      <c r="Z91" s="310" t="s">
        <v>827</v>
      </c>
      <c r="AA91" s="310"/>
      <c r="AB91" s="312">
        <v>0.20357</v>
      </c>
      <c r="AC91" s="313">
        <v>30</v>
      </c>
      <c r="AD91" s="312"/>
      <c r="AE91" s="310"/>
      <c r="AF91" s="310"/>
      <c r="AG91" s="311"/>
      <c r="AH91" s="311"/>
      <c r="AI91" s="312"/>
      <c r="AJ91" s="310"/>
      <c r="AK91" s="314"/>
      <c r="AL91" s="314"/>
      <c r="AM91" s="314">
        <v>182532</v>
      </c>
      <c r="AN91" s="314">
        <v>129977</v>
      </c>
      <c r="AO91" s="314">
        <v>53497</v>
      </c>
      <c r="AP91" s="314">
        <v>38094</v>
      </c>
      <c r="AQ91" s="314"/>
      <c r="AR91" s="314"/>
      <c r="AS91" s="314"/>
      <c r="AT91" s="314"/>
      <c r="AU91" s="314"/>
      <c r="AV91" s="314"/>
      <c r="AW91" s="314"/>
      <c r="AX91" s="314"/>
      <c r="AY91" s="315"/>
      <c r="AZ91" s="315"/>
      <c r="BA91" s="315"/>
      <c r="BB91" s="315"/>
      <c r="BC91" s="315"/>
      <c r="BD91" s="315"/>
      <c r="BE91" s="315"/>
      <c r="BF91" s="315"/>
      <c r="BG91" s="315"/>
      <c r="BH91" s="315"/>
      <c r="BI91" s="315"/>
      <c r="BJ91" s="315"/>
      <c r="BK91" s="315"/>
      <c r="BL91" s="315"/>
      <c r="BM91" s="315"/>
      <c r="BN91" s="315"/>
      <c r="BO91" s="315"/>
      <c r="BP91" s="315"/>
      <c r="BQ91" s="315"/>
      <c r="BR91" s="315"/>
      <c r="BS91" s="315"/>
      <c r="BT91" s="315"/>
      <c r="BU91" s="315"/>
      <c r="BV91" s="315"/>
      <c r="BW91" s="311"/>
      <c r="BX91" s="311"/>
      <c r="BY91" s="311"/>
      <c r="BZ91" s="311"/>
      <c r="CA91" s="311"/>
      <c r="CB91" s="311"/>
      <c r="CC91" s="311"/>
      <c r="CD91" s="311"/>
      <c r="CE91" s="311"/>
      <c r="CF91" s="311"/>
      <c r="CG91" s="311"/>
      <c r="CH91" s="310">
        <v>182532</v>
      </c>
      <c r="CI91" s="310">
        <v>129977</v>
      </c>
      <c r="CJ91" s="310"/>
      <c r="CK91" s="310"/>
      <c r="CL91" s="310"/>
      <c r="CM91" s="310"/>
      <c r="CN91" s="310"/>
      <c r="CO91" s="310"/>
      <c r="CP91" s="310"/>
      <c r="CQ91" s="311" t="s">
        <v>744</v>
      </c>
      <c r="CR91" s="311" t="s">
        <v>742</v>
      </c>
      <c r="CS91" s="311" t="s">
        <v>742</v>
      </c>
      <c r="CT91" s="311"/>
      <c r="CU91" s="311"/>
      <c r="CV91" s="311"/>
      <c r="CW91" s="311"/>
      <c r="CX91" s="311"/>
      <c r="CY91" s="311"/>
      <c r="CZ91" s="311"/>
      <c r="DA91" s="311"/>
      <c r="DB91" s="311"/>
      <c r="DC91" s="311"/>
      <c r="DD91" s="311"/>
      <c r="DE91" s="316"/>
      <c r="DF91" s="314"/>
      <c r="DG91" s="314"/>
      <c r="DH91" s="314"/>
      <c r="DI91" s="314"/>
      <c r="DJ91" s="314"/>
      <c r="DK91" s="314">
        <v>0</v>
      </c>
      <c r="DL91" s="314">
        <v>0</v>
      </c>
      <c r="DM91" s="314">
        <v>0</v>
      </c>
      <c r="DN91" s="314">
        <v>0</v>
      </c>
      <c r="DO91" s="314">
        <v>0</v>
      </c>
      <c r="DP91" s="314">
        <v>0</v>
      </c>
      <c r="DQ91" s="314">
        <v>0</v>
      </c>
      <c r="DR91" s="314">
        <v>53497</v>
      </c>
      <c r="DS91" s="314">
        <v>0</v>
      </c>
      <c r="DT91" s="314">
        <v>0</v>
      </c>
      <c r="DU91" s="314">
        <v>0</v>
      </c>
      <c r="DV91" s="314">
        <v>0</v>
      </c>
      <c r="DW91" s="314">
        <v>53497</v>
      </c>
      <c r="DX91" s="314">
        <v>0</v>
      </c>
      <c r="DY91" s="314">
        <v>53497</v>
      </c>
      <c r="DZ91" s="314">
        <v>0</v>
      </c>
      <c r="EA91" s="314">
        <v>53497</v>
      </c>
      <c r="EB91" s="314">
        <v>0</v>
      </c>
      <c r="EC91" s="317">
        <v>0</v>
      </c>
      <c r="ED91" s="317">
        <v>0</v>
      </c>
      <c r="EE91" s="317">
        <v>0</v>
      </c>
      <c r="EF91" s="317">
        <v>0</v>
      </c>
      <c r="EG91" s="317">
        <v>0</v>
      </c>
      <c r="EH91" s="317">
        <v>0</v>
      </c>
      <c r="EI91" s="317">
        <v>0</v>
      </c>
      <c r="EJ91" s="317">
        <v>1</v>
      </c>
      <c r="EK91" s="317">
        <v>0</v>
      </c>
      <c r="EL91" s="317">
        <v>0</v>
      </c>
      <c r="EM91" s="317">
        <v>0</v>
      </c>
      <c r="EN91" s="317">
        <v>0</v>
      </c>
      <c r="EO91" s="317">
        <v>1</v>
      </c>
      <c r="EP91" s="317">
        <v>0</v>
      </c>
      <c r="EQ91" s="317">
        <v>1</v>
      </c>
      <c r="ER91" s="317">
        <v>0</v>
      </c>
      <c r="ES91" s="317">
        <v>1</v>
      </c>
      <c r="ET91" s="317">
        <v>0</v>
      </c>
    </row>
    <row r="92" spans="1:150" x14ac:dyDescent="0.25">
      <c r="A92" s="310">
        <v>8399</v>
      </c>
      <c r="B92" s="310">
        <v>2023</v>
      </c>
      <c r="C92" s="310" t="s">
        <v>10</v>
      </c>
      <c r="D92" s="310" t="s">
        <v>902</v>
      </c>
      <c r="E92" s="310">
        <v>60405</v>
      </c>
      <c r="F92" s="310" t="s">
        <v>746</v>
      </c>
      <c r="G92" s="310">
        <v>17718</v>
      </c>
      <c r="H92" s="310" t="s">
        <v>903</v>
      </c>
      <c r="I92" s="310">
        <v>60208</v>
      </c>
      <c r="J92" s="310" t="s">
        <v>748</v>
      </c>
      <c r="K92" s="310" t="s">
        <v>749</v>
      </c>
      <c r="L92" s="310" t="s">
        <v>750</v>
      </c>
      <c r="M92" s="310" t="s">
        <v>751</v>
      </c>
      <c r="N92" s="310" t="s">
        <v>752</v>
      </c>
      <c r="O92" s="310" t="s">
        <v>753</v>
      </c>
      <c r="P92" s="310"/>
      <c r="Q92" s="310" t="s">
        <v>735</v>
      </c>
      <c r="R92" s="310" t="s">
        <v>838</v>
      </c>
      <c r="S92" s="310" t="s">
        <v>839</v>
      </c>
      <c r="T92" s="310">
        <v>33.450000000000003</v>
      </c>
      <c r="U92" s="310">
        <v>-104.456</v>
      </c>
      <c r="V92" s="310"/>
      <c r="W92" s="311">
        <v>1</v>
      </c>
      <c r="X92" s="311">
        <v>1</v>
      </c>
      <c r="Y92" s="310" t="s">
        <v>826</v>
      </c>
      <c r="Z92" s="310" t="s">
        <v>827</v>
      </c>
      <c r="AA92" s="310"/>
      <c r="AB92" s="312">
        <v>0.22725999999999999</v>
      </c>
      <c r="AC92" s="313">
        <v>70</v>
      </c>
      <c r="AD92" s="312"/>
      <c r="AE92" s="310"/>
      <c r="AF92" s="310"/>
      <c r="AG92" s="311"/>
      <c r="AH92" s="311"/>
      <c r="AI92" s="312"/>
      <c r="AJ92" s="310"/>
      <c r="AK92" s="314"/>
      <c r="AL92" s="314"/>
      <c r="AM92" s="314">
        <v>475479</v>
      </c>
      <c r="AN92" s="314">
        <v>278163</v>
      </c>
      <c r="AO92" s="314">
        <v>139355</v>
      </c>
      <c r="AP92" s="314">
        <v>81525</v>
      </c>
      <c r="AQ92" s="314"/>
      <c r="AR92" s="314"/>
      <c r="AS92" s="314"/>
      <c r="AT92" s="314"/>
      <c r="AU92" s="314"/>
      <c r="AV92" s="314"/>
      <c r="AW92" s="314"/>
      <c r="AX92" s="314"/>
      <c r="AY92" s="315"/>
      <c r="AZ92" s="315"/>
      <c r="BA92" s="315"/>
      <c r="BB92" s="315"/>
      <c r="BC92" s="315"/>
      <c r="BD92" s="315"/>
      <c r="BE92" s="315"/>
      <c r="BF92" s="315"/>
      <c r="BG92" s="315"/>
      <c r="BH92" s="315"/>
      <c r="BI92" s="315"/>
      <c r="BJ92" s="315"/>
      <c r="BK92" s="315"/>
      <c r="BL92" s="315"/>
      <c r="BM92" s="315"/>
      <c r="BN92" s="315"/>
      <c r="BO92" s="315"/>
      <c r="BP92" s="315"/>
      <c r="BQ92" s="315"/>
      <c r="BR92" s="315"/>
      <c r="BS92" s="315"/>
      <c r="BT92" s="315"/>
      <c r="BU92" s="315"/>
      <c r="BV92" s="315"/>
      <c r="BW92" s="311"/>
      <c r="BX92" s="311"/>
      <c r="BY92" s="311"/>
      <c r="BZ92" s="311"/>
      <c r="CA92" s="311"/>
      <c r="CB92" s="311"/>
      <c r="CC92" s="311"/>
      <c r="CD92" s="311"/>
      <c r="CE92" s="311"/>
      <c r="CF92" s="311"/>
      <c r="CG92" s="311"/>
      <c r="CH92" s="310">
        <v>475479</v>
      </c>
      <c r="CI92" s="310">
        <v>278163</v>
      </c>
      <c r="CJ92" s="310"/>
      <c r="CK92" s="310"/>
      <c r="CL92" s="310"/>
      <c r="CM92" s="310"/>
      <c r="CN92" s="310"/>
      <c r="CO92" s="310"/>
      <c r="CP92" s="310"/>
      <c r="CQ92" s="311" t="s">
        <v>744</v>
      </c>
      <c r="CR92" s="311" t="s">
        <v>742</v>
      </c>
      <c r="CS92" s="311" t="s">
        <v>742</v>
      </c>
      <c r="CT92" s="311"/>
      <c r="CU92" s="311"/>
      <c r="CV92" s="311"/>
      <c r="CW92" s="311"/>
      <c r="CX92" s="311"/>
      <c r="CY92" s="311"/>
      <c r="CZ92" s="311"/>
      <c r="DA92" s="311"/>
      <c r="DB92" s="311"/>
      <c r="DC92" s="311"/>
      <c r="DD92" s="311"/>
      <c r="DE92" s="316"/>
      <c r="DF92" s="314"/>
      <c r="DG92" s="314"/>
      <c r="DH92" s="314"/>
      <c r="DI92" s="314"/>
      <c r="DJ92" s="314"/>
      <c r="DK92" s="314">
        <v>0</v>
      </c>
      <c r="DL92" s="314">
        <v>0</v>
      </c>
      <c r="DM92" s="314">
        <v>0</v>
      </c>
      <c r="DN92" s="314">
        <v>0</v>
      </c>
      <c r="DO92" s="314">
        <v>0</v>
      </c>
      <c r="DP92" s="314">
        <v>0</v>
      </c>
      <c r="DQ92" s="314">
        <v>0</v>
      </c>
      <c r="DR92" s="314">
        <v>139355</v>
      </c>
      <c r="DS92" s="314">
        <v>0</v>
      </c>
      <c r="DT92" s="314">
        <v>0</v>
      </c>
      <c r="DU92" s="314">
        <v>0</v>
      </c>
      <c r="DV92" s="314">
        <v>0</v>
      </c>
      <c r="DW92" s="314">
        <v>139355</v>
      </c>
      <c r="DX92" s="314">
        <v>0</v>
      </c>
      <c r="DY92" s="314">
        <v>139355</v>
      </c>
      <c r="DZ92" s="314">
        <v>0</v>
      </c>
      <c r="EA92" s="314">
        <v>139355</v>
      </c>
      <c r="EB92" s="314">
        <v>0</v>
      </c>
      <c r="EC92" s="317">
        <v>0</v>
      </c>
      <c r="ED92" s="317">
        <v>0</v>
      </c>
      <c r="EE92" s="317">
        <v>0</v>
      </c>
      <c r="EF92" s="317">
        <v>0</v>
      </c>
      <c r="EG92" s="317">
        <v>0</v>
      </c>
      <c r="EH92" s="317">
        <v>0</v>
      </c>
      <c r="EI92" s="317">
        <v>0</v>
      </c>
      <c r="EJ92" s="317">
        <v>1</v>
      </c>
      <c r="EK92" s="317">
        <v>0</v>
      </c>
      <c r="EL92" s="317">
        <v>0</v>
      </c>
      <c r="EM92" s="317">
        <v>0</v>
      </c>
      <c r="EN92" s="317">
        <v>0</v>
      </c>
      <c r="EO92" s="317">
        <v>1</v>
      </c>
      <c r="EP92" s="317">
        <v>0</v>
      </c>
      <c r="EQ92" s="317">
        <v>1</v>
      </c>
      <c r="ER92" s="317">
        <v>0</v>
      </c>
      <c r="ES92" s="317">
        <v>1</v>
      </c>
      <c r="ET92" s="317">
        <v>0</v>
      </c>
    </row>
    <row r="93" spans="1:150" x14ac:dyDescent="0.25">
      <c r="A93" s="310">
        <v>8401</v>
      </c>
      <c r="B93" s="310">
        <v>2023</v>
      </c>
      <c r="C93" s="310" t="s">
        <v>10</v>
      </c>
      <c r="D93" s="310" t="s">
        <v>866</v>
      </c>
      <c r="E93" s="310">
        <v>59619</v>
      </c>
      <c r="F93" s="310" t="s">
        <v>759</v>
      </c>
      <c r="G93" s="310">
        <v>15473</v>
      </c>
      <c r="H93" s="310" t="s">
        <v>823</v>
      </c>
      <c r="I93" s="310">
        <v>59300</v>
      </c>
      <c r="J93" s="310" t="s">
        <v>729</v>
      </c>
      <c r="K93" s="310" t="s">
        <v>760</v>
      </c>
      <c r="L93" s="310" t="s">
        <v>761</v>
      </c>
      <c r="M93" s="310" t="s">
        <v>732</v>
      </c>
      <c r="N93" s="310" t="s">
        <v>733</v>
      </c>
      <c r="O93" s="310" t="s">
        <v>734</v>
      </c>
      <c r="P93" s="310"/>
      <c r="Q93" s="310" t="s">
        <v>735</v>
      </c>
      <c r="R93" s="310" t="s">
        <v>865</v>
      </c>
      <c r="S93" s="310" t="s">
        <v>866</v>
      </c>
      <c r="T93" s="310">
        <v>35.201149999999998</v>
      </c>
      <c r="U93" s="310">
        <v>-107.24515599999999</v>
      </c>
      <c r="V93" s="310"/>
      <c r="W93" s="311">
        <v>1</v>
      </c>
      <c r="X93" s="311">
        <v>1</v>
      </c>
      <c r="Y93" s="310" t="s">
        <v>826</v>
      </c>
      <c r="Z93" s="310" t="s">
        <v>827</v>
      </c>
      <c r="AA93" s="310"/>
      <c r="AB93" s="312">
        <v>0.28766999999999998</v>
      </c>
      <c r="AC93" s="313">
        <v>7.6</v>
      </c>
      <c r="AD93" s="312"/>
      <c r="AE93" s="310"/>
      <c r="AF93" s="310"/>
      <c r="AG93" s="311"/>
      <c r="AH93" s="311"/>
      <c r="AI93" s="312"/>
      <c r="AJ93" s="310"/>
      <c r="AK93" s="314"/>
      <c r="AL93" s="314"/>
      <c r="AM93" s="314">
        <v>65347</v>
      </c>
      <c r="AN93" s="314">
        <v>33349</v>
      </c>
      <c r="AO93" s="314">
        <v>19152</v>
      </c>
      <c r="AP93" s="314">
        <v>9774</v>
      </c>
      <c r="AQ93" s="314"/>
      <c r="AR93" s="314"/>
      <c r="AS93" s="314"/>
      <c r="AT93" s="314"/>
      <c r="AU93" s="314"/>
      <c r="AV93" s="314"/>
      <c r="AW93" s="314"/>
      <c r="AX93" s="314"/>
      <c r="AY93" s="315"/>
      <c r="AZ93" s="315"/>
      <c r="BA93" s="315"/>
      <c r="BB93" s="315"/>
      <c r="BC93" s="315"/>
      <c r="BD93" s="315"/>
      <c r="BE93" s="315"/>
      <c r="BF93" s="315"/>
      <c r="BG93" s="315"/>
      <c r="BH93" s="315"/>
      <c r="BI93" s="315"/>
      <c r="BJ93" s="315"/>
      <c r="BK93" s="315"/>
      <c r="BL93" s="315"/>
      <c r="BM93" s="315"/>
      <c r="BN93" s="315"/>
      <c r="BO93" s="315"/>
      <c r="BP93" s="315"/>
      <c r="BQ93" s="315"/>
      <c r="BR93" s="315"/>
      <c r="BS93" s="315"/>
      <c r="BT93" s="315"/>
      <c r="BU93" s="315"/>
      <c r="BV93" s="315"/>
      <c r="BW93" s="311"/>
      <c r="BX93" s="311"/>
      <c r="BY93" s="311"/>
      <c r="BZ93" s="311"/>
      <c r="CA93" s="311"/>
      <c r="CB93" s="311"/>
      <c r="CC93" s="311"/>
      <c r="CD93" s="311"/>
      <c r="CE93" s="311"/>
      <c r="CF93" s="311"/>
      <c r="CG93" s="311"/>
      <c r="CH93" s="310">
        <v>65347</v>
      </c>
      <c r="CI93" s="310">
        <v>33349</v>
      </c>
      <c r="CJ93" s="310"/>
      <c r="CK93" s="310"/>
      <c r="CL93" s="310"/>
      <c r="CM93" s="310"/>
      <c r="CN93" s="310"/>
      <c r="CO93" s="310"/>
      <c r="CP93" s="310"/>
      <c r="CQ93" s="311" t="s">
        <v>744</v>
      </c>
      <c r="CR93" s="311" t="s">
        <v>742</v>
      </c>
      <c r="CS93" s="311" t="s">
        <v>742</v>
      </c>
      <c r="CT93" s="311"/>
      <c r="CU93" s="311"/>
      <c r="CV93" s="311"/>
      <c r="CW93" s="311"/>
      <c r="CX93" s="311"/>
      <c r="CY93" s="311"/>
      <c r="CZ93" s="311"/>
      <c r="DA93" s="311"/>
      <c r="DB93" s="311"/>
      <c r="DC93" s="311"/>
      <c r="DD93" s="311"/>
      <c r="DE93" s="316"/>
      <c r="DF93" s="314"/>
      <c r="DG93" s="314"/>
      <c r="DH93" s="314"/>
      <c r="DI93" s="314"/>
      <c r="DJ93" s="314"/>
      <c r="DK93" s="314">
        <v>0</v>
      </c>
      <c r="DL93" s="314">
        <v>0</v>
      </c>
      <c r="DM93" s="314">
        <v>0</v>
      </c>
      <c r="DN93" s="314">
        <v>0</v>
      </c>
      <c r="DO93" s="314">
        <v>0</v>
      </c>
      <c r="DP93" s="314">
        <v>0</v>
      </c>
      <c r="DQ93" s="314">
        <v>0</v>
      </c>
      <c r="DR93" s="314">
        <v>19152</v>
      </c>
      <c r="DS93" s="314">
        <v>0</v>
      </c>
      <c r="DT93" s="314">
        <v>0</v>
      </c>
      <c r="DU93" s="314">
        <v>0</v>
      </c>
      <c r="DV93" s="314">
        <v>0</v>
      </c>
      <c r="DW93" s="314">
        <v>19152</v>
      </c>
      <c r="DX93" s="314">
        <v>0</v>
      </c>
      <c r="DY93" s="314">
        <v>19152</v>
      </c>
      <c r="DZ93" s="314">
        <v>0</v>
      </c>
      <c r="EA93" s="314">
        <v>19152</v>
      </c>
      <c r="EB93" s="314">
        <v>0</v>
      </c>
      <c r="EC93" s="317">
        <v>0</v>
      </c>
      <c r="ED93" s="317">
        <v>0</v>
      </c>
      <c r="EE93" s="317">
        <v>0</v>
      </c>
      <c r="EF93" s="317">
        <v>0</v>
      </c>
      <c r="EG93" s="317">
        <v>0</v>
      </c>
      <c r="EH93" s="317">
        <v>0</v>
      </c>
      <c r="EI93" s="317">
        <v>0</v>
      </c>
      <c r="EJ93" s="317">
        <v>1</v>
      </c>
      <c r="EK93" s="317">
        <v>0</v>
      </c>
      <c r="EL93" s="317">
        <v>0</v>
      </c>
      <c r="EM93" s="317">
        <v>0</v>
      </c>
      <c r="EN93" s="317">
        <v>0</v>
      </c>
      <c r="EO93" s="317">
        <v>1</v>
      </c>
      <c r="EP93" s="317">
        <v>0</v>
      </c>
      <c r="EQ93" s="317">
        <v>1</v>
      </c>
      <c r="ER93" s="317">
        <v>0</v>
      </c>
      <c r="ES93" s="317">
        <v>1</v>
      </c>
      <c r="ET93" s="317">
        <v>0</v>
      </c>
    </row>
    <row r="94" spans="1:150" x14ac:dyDescent="0.25">
      <c r="A94" s="310">
        <v>8402</v>
      </c>
      <c r="B94" s="310">
        <v>2023</v>
      </c>
      <c r="C94" s="310" t="s">
        <v>10</v>
      </c>
      <c r="D94" s="310" t="s">
        <v>904</v>
      </c>
      <c r="E94" s="310">
        <v>57243</v>
      </c>
      <c r="F94" s="310" t="s">
        <v>905</v>
      </c>
      <c r="G94" s="310">
        <v>17826</v>
      </c>
      <c r="H94" s="310" t="s">
        <v>906</v>
      </c>
      <c r="I94" s="310">
        <v>17650</v>
      </c>
      <c r="J94" s="310" t="s">
        <v>748</v>
      </c>
      <c r="K94" s="310" t="s">
        <v>778</v>
      </c>
      <c r="L94" s="310" t="s">
        <v>779</v>
      </c>
      <c r="M94" s="310" t="s">
        <v>732</v>
      </c>
      <c r="N94" s="310" t="s">
        <v>733</v>
      </c>
      <c r="O94" s="310" t="s">
        <v>734</v>
      </c>
      <c r="P94" s="310"/>
      <c r="Q94" s="310" t="s">
        <v>735</v>
      </c>
      <c r="R94" s="310" t="s">
        <v>846</v>
      </c>
      <c r="S94" s="310" t="s">
        <v>847</v>
      </c>
      <c r="T94" s="310">
        <v>36.468077999999998</v>
      </c>
      <c r="U94" s="310">
        <v>-104.635659</v>
      </c>
      <c r="V94" s="310"/>
      <c r="W94" s="311">
        <v>1</v>
      </c>
      <c r="X94" s="311">
        <v>1</v>
      </c>
      <c r="Y94" s="310" t="s">
        <v>826</v>
      </c>
      <c r="Z94" s="310" t="s">
        <v>827</v>
      </c>
      <c r="AA94" s="310"/>
      <c r="AB94" s="312">
        <v>0.21274000000000001</v>
      </c>
      <c r="AC94" s="313">
        <v>30.6</v>
      </c>
      <c r="AD94" s="312"/>
      <c r="AE94" s="310"/>
      <c r="AF94" s="310"/>
      <c r="AG94" s="311"/>
      <c r="AH94" s="311"/>
      <c r="AI94" s="312"/>
      <c r="AJ94" s="310"/>
      <c r="AK94" s="314"/>
      <c r="AL94" s="314"/>
      <c r="AM94" s="314">
        <v>194578</v>
      </c>
      <c r="AN94" s="314">
        <v>86577</v>
      </c>
      <c r="AO94" s="314">
        <v>57027</v>
      </c>
      <c r="AP94" s="314">
        <v>25374</v>
      </c>
      <c r="AQ94" s="314"/>
      <c r="AR94" s="314"/>
      <c r="AS94" s="314"/>
      <c r="AT94" s="314"/>
      <c r="AU94" s="314"/>
      <c r="AV94" s="314"/>
      <c r="AW94" s="314"/>
      <c r="AX94" s="314"/>
      <c r="AY94" s="315"/>
      <c r="AZ94" s="315"/>
      <c r="BA94" s="315"/>
      <c r="BB94" s="315"/>
      <c r="BC94" s="315"/>
      <c r="BD94" s="315"/>
      <c r="BE94" s="315"/>
      <c r="BF94" s="315"/>
      <c r="BG94" s="315"/>
      <c r="BH94" s="315"/>
      <c r="BI94" s="315"/>
      <c r="BJ94" s="315"/>
      <c r="BK94" s="315"/>
      <c r="BL94" s="315"/>
      <c r="BM94" s="315"/>
      <c r="BN94" s="315"/>
      <c r="BO94" s="315"/>
      <c r="BP94" s="315"/>
      <c r="BQ94" s="315"/>
      <c r="BR94" s="315"/>
      <c r="BS94" s="315"/>
      <c r="BT94" s="315"/>
      <c r="BU94" s="315"/>
      <c r="BV94" s="315"/>
      <c r="BW94" s="311"/>
      <c r="BX94" s="311"/>
      <c r="BY94" s="311"/>
      <c r="BZ94" s="311"/>
      <c r="CA94" s="311"/>
      <c r="CB94" s="311"/>
      <c r="CC94" s="311"/>
      <c r="CD94" s="311"/>
      <c r="CE94" s="311"/>
      <c r="CF94" s="311"/>
      <c r="CG94" s="311"/>
      <c r="CH94" s="310">
        <v>194578</v>
      </c>
      <c r="CI94" s="310">
        <v>86577</v>
      </c>
      <c r="CJ94" s="310"/>
      <c r="CK94" s="310"/>
      <c r="CL94" s="310"/>
      <c r="CM94" s="310"/>
      <c r="CN94" s="310"/>
      <c r="CO94" s="310"/>
      <c r="CP94" s="310"/>
      <c r="CQ94" s="311" t="s">
        <v>744</v>
      </c>
      <c r="CR94" s="311" t="s">
        <v>742</v>
      </c>
      <c r="CS94" s="311" t="s">
        <v>742</v>
      </c>
      <c r="CT94" s="311"/>
      <c r="CU94" s="311"/>
      <c r="CV94" s="311"/>
      <c r="CW94" s="311"/>
      <c r="CX94" s="311"/>
      <c r="CY94" s="311"/>
      <c r="CZ94" s="311"/>
      <c r="DA94" s="311"/>
      <c r="DB94" s="311"/>
      <c r="DC94" s="311"/>
      <c r="DD94" s="311"/>
      <c r="DE94" s="316"/>
      <c r="DF94" s="314"/>
      <c r="DG94" s="314"/>
      <c r="DH94" s="314"/>
      <c r="DI94" s="314"/>
      <c r="DJ94" s="314"/>
      <c r="DK94" s="314">
        <v>0</v>
      </c>
      <c r="DL94" s="314">
        <v>0</v>
      </c>
      <c r="DM94" s="314">
        <v>0</v>
      </c>
      <c r="DN94" s="314">
        <v>0</v>
      </c>
      <c r="DO94" s="314">
        <v>0</v>
      </c>
      <c r="DP94" s="314">
        <v>0</v>
      </c>
      <c r="DQ94" s="314">
        <v>0</v>
      </c>
      <c r="DR94" s="314">
        <v>57027</v>
      </c>
      <c r="DS94" s="314">
        <v>0</v>
      </c>
      <c r="DT94" s="314">
        <v>0</v>
      </c>
      <c r="DU94" s="314">
        <v>0</v>
      </c>
      <c r="DV94" s="314">
        <v>0</v>
      </c>
      <c r="DW94" s="314">
        <v>57027</v>
      </c>
      <c r="DX94" s="314">
        <v>0</v>
      </c>
      <c r="DY94" s="314">
        <v>57027</v>
      </c>
      <c r="DZ94" s="314">
        <v>0</v>
      </c>
      <c r="EA94" s="314">
        <v>57027</v>
      </c>
      <c r="EB94" s="314">
        <v>0</v>
      </c>
      <c r="EC94" s="317">
        <v>0</v>
      </c>
      <c r="ED94" s="317">
        <v>0</v>
      </c>
      <c r="EE94" s="317">
        <v>0</v>
      </c>
      <c r="EF94" s="317">
        <v>0</v>
      </c>
      <c r="EG94" s="317">
        <v>0</v>
      </c>
      <c r="EH94" s="317">
        <v>0</v>
      </c>
      <c r="EI94" s="317">
        <v>0</v>
      </c>
      <c r="EJ94" s="317">
        <v>1</v>
      </c>
      <c r="EK94" s="317">
        <v>0</v>
      </c>
      <c r="EL94" s="317">
        <v>0</v>
      </c>
      <c r="EM94" s="317">
        <v>0</v>
      </c>
      <c r="EN94" s="317">
        <v>0</v>
      </c>
      <c r="EO94" s="317">
        <v>1</v>
      </c>
      <c r="EP94" s="317">
        <v>0</v>
      </c>
      <c r="EQ94" s="317">
        <v>1</v>
      </c>
      <c r="ER94" s="317">
        <v>0</v>
      </c>
      <c r="ES94" s="317">
        <v>1</v>
      </c>
      <c r="ET94" s="317">
        <v>0</v>
      </c>
    </row>
    <row r="95" spans="1:150" x14ac:dyDescent="0.25">
      <c r="A95" s="310">
        <v>8403</v>
      </c>
      <c r="B95" s="310">
        <v>2023</v>
      </c>
      <c r="C95" s="310" t="s">
        <v>10</v>
      </c>
      <c r="D95" s="310" t="s">
        <v>907</v>
      </c>
      <c r="E95" s="310">
        <v>62406</v>
      </c>
      <c r="F95" s="310" t="s">
        <v>759</v>
      </c>
      <c r="G95" s="310">
        <v>15473</v>
      </c>
      <c r="H95" s="310" t="s">
        <v>908</v>
      </c>
      <c r="I95" s="310">
        <v>60531</v>
      </c>
      <c r="J95" s="310" t="s">
        <v>748</v>
      </c>
      <c r="K95" s="310" t="s">
        <v>760</v>
      </c>
      <c r="L95" s="310" t="s">
        <v>761</v>
      </c>
      <c r="M95" s="310" t="s">
        <v>732</v>
      </c>
      <c r="N95" s="310" t="s">
        <v>733</v>
      </c>
      <c r="O95" s="310" t="s">
        <v>734</v>
      </c>
      <c r="P95" s="310"/>
      <c r="Q95" s="310" t="s">
        <v>735</v>
      </c>
      <c r="R95" s="310" t="s">
        <v>854</v>
      </c>
      <c r="S95" s="310" t="s">
        <v>855</v>
      </c>
      <c r="T95" s="310">
        <v>35.522359999999999</v>
      </c>
      <c r="U95" s="310">
        <v>-108.778791</v>
      </c>
      <c r="V95" s="310"/>
      <c r="W95" s="311">
        <v>1</v>
      </c>
      <c r="X95" s="311">
        <v>1</v>
      </c>
      <c r="Y95" s="310" t="s">
        <v>826</v>
      </c>
      <c r="Z95" s="310" t="s">
        <v>827</v>
      </c>
      <c r="AA95" s="310"/>
      <c r="AB95" s="312">
        <v>0.19608</v>
      </c>
      <c r="AC95" s="313">
        <v>8</v>
      </c>
      <c r="AD95" s="312"/>
      <c r="AE95" s="310"/>
      <c r="AF95" s="310"/>
      <c r="AG95" s="311"/>
      <c r="AH95" s="311"/>
      <c r="AI95" s="312"/>
      <c r="AJ95" s="310"/>
      <c r="AK95" s="314"/>
      <c r="AL95" s="314"/>
      <c r="AM95" s="314">
        <v>46886</v>
      </c>
      <c r="AN95" s="314">
        <v>24136</v>
      </c>
      <c r="AO95" s="314">
        <v>13741</v>
      </c>
      <c r="AP95" s="314">
        <v>7074</v>
      </c>
      <c r="AQ95" s="314"/>
      <c r="AR95" s="314"/>
      <c r="AS95" s="314"/>
      <c r="AT95" s="314"/>
      <c r="AU95" s="314"/>
      <c r="AV95" s="314"/>
      <c r="AW95" s="314"/>
      <c r="AX95" s="314"/>
      <c r="AY95" s="315"/>
      <c r="AZ95" s="315"/>
      <c r="BA95" s="315"/>
      <c r="BB95" s="315"/>
      <c r="BC95" s="315"/>
      <c r="BD95" s="315"/>
      <c r="BE95" s="315"/>
      <c r="BF95" s="315"/>
      <c r="BG95" s="315"/>
      <c r="BH95" s="315"/>
      <c r="BI95" s="315"/>
      <c r="BJ95" s="315"/>
      <c r="BK95" s="315"/>
      <c r="BL95" s="315"/>
      <c r="BM95" s="315"/>
      <c r="BN95" s="315"/>
      <c r="BO95" s="315"/>
      <c r="BP95" s="315"/>
      <c r="BQ95" s="315"/>
      <c r="BR95" s="315"/>
      <c r="BS95" s="315"/>
      <c r="BT95" s="315"/>
      <c r="BU95" s="315"/>
      <c r="BV95" s="315"/>
      <c r="BW95" s="311"/>
      <c r="BX95" s="311"/>
      <c r="BY95" s="311"/>
      <c r="BZ95" s="311"/>
      <c r="CA95" s="311"/>
      <c r="CB95" s="311"/>
      <c r="CC95" s="311"/>
      <c r="CD95" s="311"/>
      <c r="CE95" s="311"/>
      <c r="CF95" s="311"/>
      <c r="CG95" s="311"/>
      <c r="CH95" s="310">
        <v>46886</v>
      </c>
      <c r="CI95" s="310">
        <v>24136</v>
      </c>
      <c r="CJ95" s="310"/>
      <c r="CK95" s="310"/>
      <c r="CL95" s="310"/>
      <c r="CM95" s="310"/>
      <c r="CN95" s="310"/>
      <c r="CO95" s="310"/>
      <c r="CP95" s="310"/>
      <c r="CQ95" s="311" t="s">
        <v>744</v>
      </c>
      <c r="CR95" s="311" t="s">
        <v>742</v>
      </c>
      <c r="CS95" s="311" t="s">
        <v>742</v>
      </c>
      <c r="CT95" s="311"/>
      <c r="CU95" s="311"/>
      <c r="CV95" s="311"/>
      <c r="CW95" s="311"/>
      <c r="CX95" s="311"/>
      <c r="CY95" s="311"/>
      <c r="CZ95" s="311"/>
      <c r="DA95" s="311"/>
      <c r="DB95" s="311"/>
      <c r="DC95" s="311"/>
      <c r="DD95" s="311"/>
      <c r="DE95" s="316"/>
      <c r="DF95" s="314"/>
      <c r="DG95" s="314"/>
      <c r="DH95" s="314"/>
      <c r="DI95" s="314"/>
      <c r="DJ95" s="314"/>
      <c r="DK95" s="314">
        <v>0</v>
      </c>
      <c r="DL95" s="314">
        <v>0</v>
      </c>
      <c r="DM95" s="314">
        <v>0</v>
      </c>
      <c r="DN95" s="314">
        <v>0</v>
      </c>
      <c r="DO95" s="314">
        <v>0</v>
      </c>
      <c r="DP95" s="314">
        <v>0</v>
      </c>
      <c r="DQ95" s="314">
        <v>0</v>
      </c>
      <c r="DR95" s="314">
        <v>13741</v>
      </c>
      <c r="DS95" s="314">
        <v>0</v>
      </c>
      <c r="DT95" s="314">
        <v>0</v>
      </c>
      <c r="DU95" s="314">
        <v>0</v>
      </c>
      <c r="DV95" s="314">
        <v>0</v>
      </c>
      <c r="DW95" s="314">
        <v>13741</v>
      </c>
      <c r="DX95" s="314">
        <v>0</v>
      </c>
      <c r="DY95" s="314">
        <v>13741</v>
      </c>
      <c r="DZ95" s="314">
        <v>0</v>
      </c>
      <c r="EA95" s="314">
        <v>13741</v>
      </c>
      <c r="EB95" s="314">
        <v>0</v>
      </c>
      <c r="EC95" s="317">
        <v>0</v>
      </c>
      <c r="ED95" s="317">
        <v>0</v>
      </c>
      <c r="EE95" s="317">
        <v>0</v>
      </c>
      <c r="EF95" s="317">
        <v>0</v>
      </c>
      <c r="EG95" s="317">
        <v>0</v>
      </c>
      <c r="EH95" s="317">
        <v>0</v>
      </c>
      <c r="EI95" s="317">
        <v>0</v>
      </c>
      <c r="EJ95" s="317">
        <v>1</v>
      </c>
      <c r="EK95" s="317">
        <v>0</v>
      </c>
      <c r="EL95" s="317">
        <v>0</v>
      </c>
      <c r="EM95" s="317">
        <v>0</v>
      </c>
      <c r="EN95" s="317">
        <v>0</v>
      </c>
      <c r="EO95" s="317">
        <v>1</v>
      </c>
      <c r="EP95" s="317">
        <v>0</v>
      </c>
      <c r="EQ95" s="317">
        <v>1</v>
      </c>
      <c r="ER95" s="317">
        <v>0</v>
      </c>
      <c r="ES95" s="317">
        <v>1</v>
      </c>
      <c r="ET95" s="317">
        <v>0</v>
      </c>
    </row>
    <row r="96" spans="1:150" x14ac:dyDescent="0.25">
      <c r="A96" s="310">
        <v>8404</v>
      </c>
      <c r="B96" s="310">
        <v>2023</v>
      </c>
      <c r="C96" s="310" t="s">
        <v>10</v>
      </c>
      <c r="D96" s="310" t="s">
        <v>909</v>
      </c>
      <c r="E96" s="310">
        <v>63391</v>
      </c>
      <c r="F96" s="310" t="s">
        <v>759</v>
      </c>
      <c r="G96" s="310">
        <v>15473</v>
      </c>
      <c r="H96" s="310" t="s">
        <v>890</v>
      </c>
      <c r="I96" s="310">
        <v>61724</v>
      </c>
      <c r="J96" s="310" t="s">
        <v>748</v>
      </c>
      <c r="K96" s="310" t="s">
        <v>760</v>
      </c>
      <c r="L96" s="310" t="s">
        <v>761</v>
      </c>
      <c r="M96" s="310" t="s">
        <v>732</v>
      </c>
      <c r="N96" s="310" t="s">
        <v>733</v>
      </c>
      <c r="O96" s="310" t="s">
        <v>734</v>
      </c>
      <c r="P96" s="310"/>
      <c r="Q96" s="310" t="s">
        <v>735</v>
      </c>
      <c r="R96" s="310" t="s">
        <v>832</v>
      </c>
      <c r="S96" s="310" t="s">
        <v>833</v>
      </c>
      <c r="T96" s="310">
        <v>35.179889000000003</v>
      </c>
      <c r="U96" s="310">
        <v>-106.806583</v>
      </c>
      <c r="V96" s="310"/>
      <c r="W96" s="311">
        <v>1</v>
      </c>
      <c r="X96" s="311">
        <v>1</v>
      </c>
      <c r="Y96" s="310" t="s">
        <v>826</v>
      </c>
      <c r="Z96" s="310" t="s">
        <v>827</v>
      </c>
      <c r="AA96" s="310"/>
      <c r="AB96" s="312">
        <v>0.25142999999999999</v>
      </c>
      <c r="AC96" s="313">
        <v>1.2</v>
      </c>
      <c r="AD96" s="312"/>
      <c r="AE96" s="310"/>
      <c r="AF96" s="310"/>
      <c r="AG96" s="311"/>
      <c r="AH96" s="311"/>
      <c r="AI96" s="312"/>
      <c r="AJ96" s="310"/>
      <c r="AK96" s="314"/>
      <c r="AL96" s="314"/>
      <c r="AM96" s="314">
        <v>9018</v>
      </c>
      <c r="AN96" s="314">
        <v>4098</v>
      </c>
      <c r="AO96" s="314">
        <v>2643</v>
      </c>
      <c r="AP96" s="314">
        <v>1201</v>
      </c>
      <c r="AQ96" s="314"/>
      <c r="AR96" s="314"/>
      <c r="AS96" s="314"/>
      <c r="AT96" s="314"/>
      <c r="AU96" s="314"/>
      <c r="AV96" s="314"/>
      <c r="AW96" s="314"/>
      <c r="AX96" s="314"/>
      <c r="AY96" s="315"/>
      <c r="AZ96" s="315"/>
      <c r="BA96" s="315"/>
      <c r="BB96" s="315"/>
      <c r="BC96" s="315"/>
      <c r="BD96" s="315"/>
      <c r="BE96" s="315"/>
      <c r="BF96" s="315"/>
      <c r="BG96" s="315"/>
      <c r="BH96" s="315"/>
      <c r="BI96" s="315"/>
      <c r="BJ96" s="315"/>
      <c r="BK96" s="315"/>
      <c r="BL96" s="315"/>
      <c r="BM96" s="315"/>
      <c r="BN96" s="315"/>
      <c r="BO96" s="315"/>
      <c r="BP96" s="315"/>
      <c r="BQ96" s="315"/>
      <c r="BR96" s="315"/>
      <c r="BS96" s="315"/>
      <c r="BT96" s="315"/>
      <c r="BU96" s="315"/>
      <c r="BV96" s="315"/>
      <c r="BW96" s="311"/>
      <c r="BX96" s="311"/>
      <c r="BY96" s="311"/>
      <c r="BZ96" s="311"/>
      <c r="CA96" s="311"/>
      <c r="CB96" s="311"/>
      <c r="CC96" s="311"/>
      <c r="CD96" s="311"/>
      <c r="CE96" s="311"/>
      <c r="CF96" s="311"/>
      <c r="CG96" s="311"/>
      <c r="CH96" s="310">
        <v>9018</v>
      </c>
      <c r="CI96" s="310">
        <v>4098</v>
      </c>
      <c r="CJ96" s="310"/>
      <c r="CK96" s="310"/>
      <c r="CL96" s="310"/>
      <c r="CM96" s="310"/>
      <c r="CN96" s="310"/>
      <c r="CO96" s="310"/>
      <c r="CP96" s="310"/>
      <c r="CQ96" s="311" t="s">
        <v>744</v>
      </c>
      <c r="CR96" s="311" t="s">
        <v>742</v>
      </c>
      <c r="CS96" s="311" t="s">
        <v>742</v>
      </c>
      <c r="CT96" s="311"/>
      <c r="CU96" s="311"/>
      <c r="CV96" s="311"/>
      <c r="CW96" s="311"/>
      <c r="CX96" s="311"/>
      <c r="CY96" s="311"/>
      <c r="CZ96" s="311"/>
      <c r="DA96" s="311"/>
      <c r="DB96" s="311"/>
      <c r="DC96" s="311"/>
      <c r="DD96" s="311"/>
      <c r="DE96" s="316"/>
      <c r="DF96" s="314"/>
      <c r="DG96" s="314"/>
      <c r="DH96" s="314"/>
      <c r="DI96" s="314"/>
      <c r="DJ96" s="314"/>
      <c r="DK96" s="314">
        <v>0</v>
      </c>
      <c r="DL96" s="314">
        <v>0</v>
      </c>
      <c r="DM96" s="314">
        <v>0</v>
      </c>
      <c r="DN96" s="314">
        <v>0</v>
      </c>
      <c r="DO96" s="314">
        <v>0</v>
      </c>
      <c r="DP96" s="314">
        <v>0</v>
      </c>
      <c r="DQ96" s="314">
        <v>0</v>
      </c>
      <c r="DR96" s="314">
        <v>2643</v>
      </c>
      <c r="DS96" s="314">
        <v>0</v>
      </c>
      <c r="DT96" s="314">
        <v>0</v>
      </c>
      <c r="DU96" s="314">
        <v>0</v>
      </c>
      <c r="DV96" s="314">
        <v>0</v>
      </c>
      <c r="DW96" s="314">
        <v>2643</v>
      </c>
      <c r="DX96" s="314">
        <v>0</v>
      </c>
      <c r="DY96" s="314">
        <v>2643</v>
      </c>
      <c r="DZ96" s="314">
        <v>0</v>
      </c>
      <c r="EA96" s="314">
        <v>2643</v>
      </c>
      <c r="EB96" s="314">
        <v>0</v>
      </c>
      <c r="EC96" s="317">
        <v>0</v>
      </c>
      <c r="ED96" s="317">
        <v>0</v>
      </c>
      <c r="EE96" s="317">
        <v>0</v>
      </c>
      <c r="EF96" s="317">
        <v>0</v>
      </c>
      <c r="EG96" s="317">
        <v>0</v>
      </c>
      <c r="EH96" s="317">
        <v>0</v>
      </c>
      <c r="EI96" s="317">
        <v>0</v>
      </c>
      <c r="EJ96" s="317">
        <v>1</v>
      </c>
      <c r="EK96" s="317">
        <v>0</v>
      </c>
      <c r="EL96" s="317">
        <v>0</v>
      </c>
      <c r="EM96" s="317">
        <v>0</v>
      </c>
      <c r="EN96" s="317">
        <v>0</v>
      </c>
      <c r="EO96" s="317">
        <v>1</v>
      </c>
      <c r="EP96" s="317">
        <v>0</v>
      </c>
      <c r="EQ96" s="317">
        <v>1</v>
      </c>
      <c r="ER96" s="317">
        <v>0</v>
      </c>
      <c r="ES96" s="317">
        <v>1</v>
      </c>
      <c r="ET96" s="317">
        <v>0</v>
      </c>
    </row>
    <row r="97" spans="1:150" x14ac:dyDescent="0.25">
      <c r="A97" s="310">
        <v>8405</v>
      </c>
      <c r="B97" s="310">
        <v>2023</v>
      </c>
      <c r="C97" s="310" t="s">
        <v>10</v>
      </c>
      <c r="D97" s="310" t="s">
        <v>910</v>
      </c>
      <c r="E97" s="310">
        <v>59653</v>
      </c>
      <c r="F97" s="310" t="s">
        <v>911</v>
      </c>
      <c r="G97" s="310">
        <v>19160</v>
      </c>
      <c r="H97" s="310" t="s">
        <v>912</v>
      </c>
      <c r="I97" s="310">
        <v>61944</v>
      </c>
      <c r="J97" s="310" t="s">
        <v>748</v>
      </c>
      <c r="K97" s="310" t="s">
        <v>760</v>
      </c>
      <c r="L97" s="310" t="s">
        <v>761</v>
      </c>
      <c r="M97" s="310" t="s">
        <v>732</v>
      </c>
      <c r="N97" s="310" t="s">
        <v>733</v>
      </c>
      <c r="O97" s="310" t="s">
        <v>734</v>
      </c>
      <c r="P97" s="310"/>
      <c r="Q97" s="310" t="s">
        <v>735</v>
      </c>
      <c r="R97" s="310" t="s">
        <v>913</v>
      </c>
      <c r="S97" s="310" t="s">
        <v>914</v>
      </c>
      <c r="T97" s="310">
        <v>33.121110999999999</v>
      </c>
      <c r="U97" s="310">
        <v>-107.287778</v>
      </c>
      <c r="V97" s="310"/>
      <c r="W97" s="311">
        <v>1</v>
      </c>
      <c r="X97" s="311">
        <v>1</v>
      </c>
      <c r="Y97" s="310" t="s">
        <v>826</v>
      </c>
      <c r="Z97" s="310" t="s">
        <v>827</v>
      </c>
      <c r="AA97" s="310"/>
      <c r="AB97" s="312">
        <v>8.1769999999999995E-2</v>
      </c>
      <c r="AC97" s="313">
        <v>1.9</v>
      </c>
      <c r="AD97" s="312"/>
      <c r="AE97" s="310"/>
      <c r="AF97" s="310"/>
      <c r="AG97" s="311"/>
      <c r="AH97" s="311"/>
      <c r="AI97" s="312"/>
      <c r="AJ97" s="310"/>
      <c r="AK97" s="314"/>
      <c r="AL97" s="314"/>
      <c r="AM97" s="314">
        <v>4644</v>
      </c>
      <c r="AN97" s="314">
        <v>529</v>
      </c>
      <c r="AO97" s="314">
        <v>1361</v>
      </c>
      <c r="AP97" s="314">
        <v>155</v>
      </c>
      <c r="AQ97" s="314"/>
      <c r="AR97" s="314"/>
      <c r="AS97" s="314"/>
      <c r="AT97" s="314"/>
      <c r="AU97" s="314"/>
      <c r="AV97" s="314"/>
      <c r="AW97" s="314"/>
      <c r="AX97" s="314"/>
      <c r="AY97" s="315"/>
      <c r="AZ97" s="315"/>
      <c r="BA97" s="315"/>
      <c r="BB97" s="315"/>
      <c r="BC97" s="315"/>
      <c r="BD97" s="315"/>
      <c r="BE97" s="315"/>
      <c r="BF97" s="315"/>
      <c r="BG97" s="315"/>
      <c r="BH97" s="315"/>
      <c r="BI97" s="315"/>
      <c r="BJ97" s="315"/>
      <c r="BK97" s="315"/>
      <c r="BL97" s="315"/>
      <c r="BM97" s="315"/>
      <c r="BN97" s="315"/>
      <c r="BO97" s="315"/>
      <c r="BP97" s="315"/>
      <c r="BQ97" s="315"/>
      <c r="BR97" s="315"/>
      <c r="BS97" s="315"/>
      <c r="BT97" s="315"/>
      <c r="BU97" s="315"/>
      <c r="BV97" s="315"/>
      <c r="BW97" s="311"/>
      <c r="BX97" s="311"/>
      <c r="BY97" s="311"/>
      <c r="BZ97" s="311"/>
      <c r="CA97" s="311"/>
      <c r="CB97" s="311"/>
      <c r="CC97" s="311"/>
      <c r="CD97" s="311"/>
      <c r="CE97" s="311"/>
      <c r="CF97" s="311"/>
      <c r="CG97" s="311"/>
      <c r="CH97" s="310">
        <v>4644</v>
      </c>
      <c r="CI97" s="310">
        <v>529</v>
      </c>
      <c r="CJ97" s="310"/>
      <c r="CK97" s="310"/>
      <c r="CL97" s="310"/>
      <c r="CM97" s="310"/>
      <c r="CN97" s="310"/>
      <c r="CO97" s="310"/>
      <c r="CP97" s="310"/>
      <c r="CQ97" s="311" t="s">
        <v>744</v>
      </c>
      <c r="CR97" s="311" t="s">
        <v>742</v>
      </c>
      <c r="CS97" s="311" t="s">
        <v>742</v>
      </c>
      <c r="CT97" s="311"/>
      <c r="CU97" s="311"/>
      <c r="CV97" s="311"/>
      <c r="CW97" s="311"/>
      <c r="CX97" s="311"/>
      <c r="CY97" s="311"/>
      <c r="CZ97" s="311"/>
      <c r="DA97" s="311"/>
      <c r="DB97" s="311"/>
      <c r="DC97" s="311"/>
      <c r="DD97" s="311"/>
      <c r="DE97" s="316"/>
      <c r="DF97" s="314"/>
      <c r="DG97" s="314"/>
      <c r="DH97" s="314"/>
      <c r="DI97" s="314"/>
      <c r="DJ97" s="314"/>
      <c r="DK97" s="314">
        <v>0</v>
      </c>
      <c r="DL97" s="314">
        <v>0</v>
      </c>
      <c r="DM97" s="314">
        <v>0</v>
      </c>
      <c r="DN97" s="314">
        <v>0</v>
      </c>
      <c r="DO97" s="314">
        <v>0</v>
      </c>
      <c r="DP97" s="314">
        <v>0</v>
      </c>
      <c r="DQ97" s="314">
        <v>0</v>
      </c>
      <c r="DR97" s="314">
        <v>1361</v>
      </c>
      <c r="DS97" s="314">
        <v>0</v>
      </c>
      <c r="DT97" s="314">
        <v>0</v>
      </c>
      <c r="DU97" s="314">
        <v>0</v>
      </c>
      <c r="DV97" s="314">
        <v>0</v>
      </c>
      <c r="DW97" s="314">
        <v>1361</v>
      </c>
      <c r="DX97" s="314">
        <v>0</v>
      </c>
      <c r="DY97" s="314">
        <v>1361</v>
      </c>
      <c r="DZ97" s="314">
        <v>0</v>
      </c>
      <c r="EA97" s="314">
        <v>1361</v>
      </c>
      <c r="EB97" s="314">
        <v>0</v>
      </c>
      <c r="EC97" s="317">
        <v>0</v>
      </c>
      <c r="ED97" s="317">
        <v>0</v>
      </c>
      <c r="EE97" s="317">
        <v>0</v>
      </c>
      <c r="EF97" s="317">
        <v>0</v>
      </c>
      <c r="EG97" s="317">
        <v>0</v>
      </c>
      <c r="EH97" s="317">
        <v>0</v>
      </c>
      <c r="EI97" s="317">
        <v>0</v>
      </c>
      <c r="EJ97" s="317">
        <v>1</v>
      </c>
      <c r="EK97" s="317">
        <v>0</v>
      </c>
      <c r="EL97" s="317">
        <v>0</v>
      </c>
      <c r="EM97" s="317">
        <v>0</v>
      </c>
      <c r="EN97" s="317">
        <v>0</v>
      </c>
      <c r="EO97" s="317">
        <v>1</v>
      </c>
      <c r="EP97" s="317">
        <v>0</v>
      </c>
      <c r="EQ97" s="317">
        <v>1</v>
      </c>
      <c r="ER97" s="317">
        <v>0</v>
      </c>
      <c r="ES97" s="317">
        <v>1</v>
      </c>
      <c r="ET97" s="317">
        <v>0</v>
      </c>
    </row>
    <row r="98" spans="1:150" x14ac:dyDescent="0.25">
      <c r="A98" s="310">
        <v>8406</v>
      </c>
      <c r="B98" s="310">
        <v>2023</v>
      </c>
      <c r="C98" s="310" t="s">
        <v>10</v>
      </c>
      <c r="D98" s="310" t="s">
        <v>915</v>
      </c>
      <c r="E98" s="310">
        <v>64054</v>
      </c>
      <c r="F98" s="310" t="s">
        <v>759</v>
      </c>
      <c r="G98" s="310">
        <v>15473</v>
      </c>
      <c r="H98" s="310" t="s">
        <v>877</v>
      </c>
      <c r="I98" s="310">
        <v>56545</v>
      </c>
      <c r="J98" s="310" t="s">
        <v>748</v>
      </c>
      <c r="K98" s="310" t="s">
        <v>760</v>
      </c>
      <c r="L98" s="310" t="s">
        <v>761</v>
      </c>
      <c r="M98" s="310" t="s">
        <v>732</v>
      </c>
      <c r="N98" s="310" t="s">
        <v>733</v>
      </c>
      <c r="O98" s="310" t="s">
        <v>734</v>
      </c>
      <c r="P98" s="310"/>
      <c r="Q98" s="310" t="s">
        <v>735</v>
      </c>
      <c r="R98" s="310" t="s">
        <v>874</v>
      </c>
      <c r="S98" s="310" t="s">
        <v>875</v>
      </c>
      <c r="T98" s="310">
        <v>34.356549999999999</v>
      </c>
      <c r="U98" s="310">
        <v>-105.43676000000001</v>
      </c>
      <c r="V98" s="310"/>
      <c r="W98" s="311">
        <v>1</v>
      </c>
      <c r="X98" s="311">
        <v>1</v>
      </c>
      <c r="Y98" s="310" t="s">
        <v>840</v>
      </c>
      <c r="Z98" s="310" t="s">
        <v>841</v>
      </c>
      <c r="AA98" s="310"/>
      <c r="AB98" s="312">
        <v>0.37373000000000001</v>
      </c>
      <c r="AC98" s="313">
        <v>325</v>
      </c>
      <c r="AD98" s="312"/>
      <c r="AE98" s="310"/>
      <c r="AF98" s="310"/>
      <c r="AG98" s="311"/>
      <c r="AH98" s="311"/>
      <c r="AI98" s="312"/>
      <c r="AJ98" s="310"/>
      <c r="AK98" s="314"/>
      <c r="AL98" s="314"/>
      <c r="AM98" s="314">
        <v>3630398</v>
      </c>
      <c r="AN98" s="314">
        <v>1214931</v>
      </c>
      <c r="AO98" s="314">
        <v>1064009</v>
      </c>
      <c r="AP98" s="314">
        <v>356076</v>
      </c>
      <c r="AQ98" s="314"/>
      <c r="AR98" s="314"/>
      <c r="AS98" s="314"/>
      <c r="AT98" s="314"/>
      <c r="AU98" s="314"/>
      <c r="AV98" s="314"/>
      <c r="AW98" s="314"/>
      <c r="AX98" s="314"/>
      <c r="AY98" s="315"/>
      <c r="AZ98" s="315"/>
      <c r="BA98" s="315"/>
      <c r="BB98" s="315"/>
      <c r="BC98" s="315"/>
      <c r="BD98" s="315"/>
      <c r="BE98" s="315"/>
      <c r="BF98" s="315"/>
      <c r="BG98" s="315"/>
      <c r="BH98" s="315"/>
      <c r="BI98" s="315"/>
      <c r="BJ98" s="315"/>
      <c r="BK98" s="315"/>
      <c r="BL98" s="315"/>
      <c r="BM98" s="315"/>
      <c r="BN98" s="315"/>
      <c r="BO98" s="315"/>
      <c r="BP98" s="315"/>
      <c r="BQ98" s="315"/>
      <c r="BR98" s="315"/>
      <c r="BS98" s="315"/>
      <c r="BT98" s="315"/>
      <c r="BU98" s="315"/>
      <c r="BV98" s="315"/>
      <c r="BW98" s="311"/>
      <c r="BX98" s="311"/>
      <c r="BY98" s="311"/>
      <c r="BZ98" s="311"/>
      <c r="CA98" s="311"/>
      <c r="CB98" s="311"/>
      <c r="CC98" s="311"/>
      <c r="CD98" s="311"/>
      <c r="CE98" s="311"/>
      <c r="CF98" s="311"/>
      <c r="CG98" s="311"/>
      <c r="CH98" s="310">
        <v>3630398</v>
      </c>
      <c r="CI98" s="310">
        <v>1214931</v>
      </c>
      <c r="CJ98" s="310"/>
      <c r="CK98" s="310"/>
      <c r="CL98" s="310"/>
      <c r="CM98" s="310"/>
      <c r="CN98" s="310"/>
      <c r="CO98" s="310"/>
      <c r="CP98" s="310"/>
      <c r="CQ98" s="311" t="s">
        <v>744</v>
      </c>
      <c r="CR98" s="311" t="s">
        <v>742</v>
      </c>
      <c r="CS98" s="311" t="s">
        <v>742</v>
      </c>
      <c r="CT98" s="311"/>
      <c r="CU98" s="311"/>
      <c r="CV98" s="311"/>
      <c r="CW98" s="311"/>
      <c r="CX98" s="311"/>
      <c r="CY98" s="311"/>
      <c r="CZ98" s="311"/>
      <c r="DA98" s="311"/>
      <c r="DB98" s="311"/>
      <c r="DC98" s="311"/>
      <c r="DD98" s="311"/>
      <c r="DE98" s="316"/>
      <c r="DF98" s="314"/>
      <c r="DG98" s="314"/>
      <c r="DH98" s="314"/>
      <c r="DI98" s="314"/>
      <c r="DJ98" s="314"/>
      <c r="DK98" s="314">
        <v>0</v>
      </c>
      <c r="DL98" s="314">
        <v>0</v>
      </c>
      <c r="DM98" s="314">
        <v>0</v>
      </c>
      <c r="DN98" s="314">
        <v>0</v>
      </c>
      <c r="DO98" s="314">
        <v>0</v>
      </c>
      <c r="DP98" s="314">
        <v>0</v>
      </c>
      <c r="DQ98" s="314">
        <v>1064009</v>
      </c>
      <c r="DR98" s="314">
        <v>0</v>
      </c>
      <c r="DS98" s="314">
        <v>0</v>
      </c>
      <c r="DT98" s="314">
        <v>0</v>
      </c>
      <c r="DU98" s="314">
        <v>0</v>
      </c>
      <c r="DV98" s="314">
        <v>0</v>
      </c>
      <c r="DW98" s="314">
        <v>1064009</v>
      </c>
      <c r="DX98" s="314">
        <v>0</v>
      </c>
      <c r="DY98" s="314">
        <v>1064009</v>
      </c>
      <c r="DZ98" s="314">
        <v>0</v>
      </c>
      <c r="EA98" s="314">
        <v>1064009</v>
      </c>
      <c r="EB98" s="314">
        <v>0</v>
      </c>
      <c r="EC98" s="317">
        <v>0</v>
      </c>
      <c r="ED98" s="317">
        <v>0</v>
      </c>
      <c r="EE98" s="317">
        <v>0</v>
      </c>
      <c r="EF98" s="317">
        <v>0</v>
      </c>
      <c r="EG98" s="317">
        <v>0</v>
      </c>
      <c r="EH98" s="317">
        <v>0</v>
      </c>
      <c r="EI98" s="317">
        <v>1</v>
      </c>
      <c r="EJ98" s="317">
        <v>0</v>
      </c>
      <c r="EK98" s="317">
        <v>0</v>
      </c>
      <c r="EL98" s="317">
        <v>0</v>
      </c>
      <c r="EM98" s="317">
        <v>0</v>
      </c>
      <c r="EN98" s="317">
        <v>0</v>
      </c>
      <c r="EO98" s="317">
        <v>1</v>
      </c>
      <c r="EP98" s="317">
        <v>0</v>
      </c>
      <c r="EQ98" s="317">
        <v>1</v>
      </c>
      <c r="ER98" s="317">
        <v>0</v>
      </c>
      <c r="ES98" s="317">
        <v>1</v>
      </c>
      <c r="ET98" s="317">
        <v>0</v>
      </c>
    </row>
    <row r="99" spans="1:150" x14ac:dyDescent="0.25">
      <c r="A99" s="310">
        <v>8407</v>
      </c>
      <c r="B99" s="310">
        <v>2023</v>
      </c>
      <c r="C99" s="310" t="s">
        <v>10</v>
      </c>
      <c r="D99" s="310" t="s">
        <v>916</v>
      </c>
      <c r="E99" s="310">
        <v>61165</v>
      </c>
      <c r="F99" s="310" t="s">
        <v>781</v>
      </c>
      <c r="G99" s="310">
        <v>30151</v>
      </c>
      <c r="H99" s="310" t="s">
        <v>890</v>
      </c>
      <c r="I99" s="310">
        <v>61724</v>
      </c>
      <c r="J99" s="310" t="s">
        <v>748</v>
      </c>
      <c r="K99" s="310" t="s">
        <v>760</v>
      </c>
      <c r="L99" s="310" t="s">
        <v>761</v>
      </c>
      <c r="M99" s="310" t="s">
        <v>732</v>
      </c>
      <c r="N99" s="310" t="s">
        <v>733</v>
      </c>
      <c r="O99" s="310" t="s">
        <v>734</v>
      </c>
      <c r="P99" s="310"/>
      <c r="Q99" s="310" t="s">
        <v>735</v>
      </c>
      <c r="R99" s="310" t="s">
        <v>762</v>
      </c>
      <c r="S99" s="310" t="s">
        <v>763</v>
      </c>
      <c r="T99" s="310">
        <v>31.86673</v>
      </c>
      <c r="U99" s="310">
        <v>-107.587513</v>
      </c>
      <c r="V99" s="310"/>
      <c r="W99" s="311">
        <v>1</v>
      </c>
      <c r="X99" s="311">
        <v>1</v>
      </c>
      <c r="Y99" s="310" t="s">
        <v>826</v>
      </c>
      <c r="Z99" s="310" t="s">
        <v>827</v>
      </c>
      <c r="AA99" s="310"/>
      <c r="AB99" s="312">
        <v>0.31963000000000003</v>
      </c>
      <c r="AC99" s="313">
        <v>1.9</v>
      </c>
      <c r="AD99" s="312"/>
      <c r="AE99" s="310"/>
      <c r="AF99" s="310"/>
      <c r="AG99" s="311"/>
      <c r="AH99" s="311"/>
      <c r="AI99" s="312"/>
      <c r="AJ99" s="310"/>
      <c r="AK99" s="314"/>
      <c r="AL99" s="314"/>
      <c r="AM99" s="314">
        <v>18153</v>
      </c>
      <c r="AN99" s="314">
        <v>8900</v>
      </c>
      <c r="AO99" s="314">
        <v>5320</v>
      </c>
      <c r="AP99" s="314">
        <v>2608</v>
      </c>
      <c r="AQ99" s="314"/>
      <c r="AR99" s="314"/>
      <c r="AS99" s="314"/>
      <c r="AT99" s="314"/>
      <c r="AU99" s="314"/>
      <c r="AV99" s="314"/>
      <c r="AW99" s="314"/>
      <c r="AX99" s="314"/>
      <c r="AY99" s="315"/>
      <c r="AZ99" s="315"/>
      <c r="BA99" s="315"/>
      <c r="BB99" s="315"/>
      <c r="BC99" s="315"/>
      <c r="BD99" s="315"/>
      <c r="BE99" s="315"/>
      <c r="BF99" s="315"/>
      <c r="BG99" s="315"/>
      <c r="BH99" s="315"/>
      <c r="BI99" s="315"/>
      <c r="BJ99" s="315"/>
      <c r="BK99" s="315"/>
      <c r="BL99" s="315"/>
      <c r="BM99" s="315"/>
      <c r="BN99" s="315"/>
      <c r="BO99" s="315"/>
      <c r="BP99" s="315"/>
      <c r="BQ99" s="315"/>
      <c r="BR99" s="315"/>
      <c r="BS99" s="315"/>
      <c r="BT99" s="315"/>
      <c r="BU99" s="315"/>
      <c r="BV99" s="315"/>
      <c r="BW99" s="311"/>
      <c r="BX99" s="311"/>
      <c r="BY99" s="311"/>
      <c r="BZ99" s="311"/>
      <c r="CA99" s="311"/>
      <c r="CB99" s="311"/>
      <c r="CC99" s="311"/>
      <c r="CD99" s="311"/>
      <c r="CE99" s="311"/>
      <c r="CF99" s="311"/>
      <c r="CG99" s="311"/>
      <c r="CH99" s="310">
        <v>18153</v>
      </c>
      <c r="CI99" s="310">
        <v>8900</v>
      </c>
      <c r="CJ99" s="310"/>
      <c r="CK99" s="310"/>
      <c r="CL99" s="310"/>
      <c r="CM99" s="310"/>
      <c r="CN99" s="310"/>
      <c r="CO99" s="310"/>
      <c r="CP99" s="310"/>
      <c r="CQ99" s="311" t="s">
        <v>744</v>
      </c>
      <c r="CR99" s="311" t="s">
        <v>742</v>
      </c>
      <c r="CS99" s="311" t="s">
        <v>742</v>
      </c>
      <c r="CT99" s="311"/>
      <c r="CU99" s="311"/>
      <c r="CV99" s="311"/>
      <c r="CW99" s="311"/>
      <c r="CX99" s="311"/>
      <c r="CY99" s="311"/>
      <c r="CZ99" s="311"/>
      <c r="DA99" s="311"/>
      <c r="DB99" s="311"/>
      <c r="DC99" s="311"/>
      <c r="DD99" s="311"/>
      <c r="DE99" s="316"/>
      <c r="DF99" s="314"/>
      <c r="DG99" s="314"/>
      <c r="DH99" s="314"/>
      <c r="DI99" s="314"/>
      <c r="DJ99" s="314"/>
      <c r="DK99" s="314">
        <v>0</v>
      </c>
      <c r="DL99" s="314">
        <v>0</v>
      </c>
      <c r="DM99" s="314">
        <v>0</v>
      </c>
      <c r="DN99" s="314">
        <v>0</v>
      </c>
      <c r="DO99" s="314">
        <v>0</v>
      </c>
      <c r="DP99" s="314">
        <v>0</v>
      </c>
      <c r="DQ99" s="314">
        <v>0</v>
      </c>
      <c r="DR99" s="314">
        <v>5320</v>
      </c>
      <c r="DS99" s="314">
        <v>0</v>
      </c>
      <c r="DT99" s="314">
        <v>0</v>
      </c>
      <c r="DU99" s="314">
        <v>0</v>
      </c>
      <c r="DV99" s="314">
        <v>0</v>
      </c>
      <c r="DW99" s="314">
        <v>5320</v>
      </c>
      <c r="DX99" s="314">
        <v>0</v>
      </c>
      <c r="DY99" s="314">
        <v>5320</v>
      </c>
      <c r="DZ99" s="314">
        <v>0</v>
      </c>
      <c r="EA99" s="314">
        <v>5320</v>
      </c>
      <c r="EB99" s="314">
        <v>0</v>
      </c>
      <c r="EC99" s="317">
        <v>0</v>
      </c>
      <c r="ED99" s="317">
        <v>0</v>
      </c>
      <c r="EE99" s="317">
        <v>0</v>
      </c>
      <c r="EF99" s="317">
        <v>0</v>
      </c>
      <c r="EG99" s="317">
        <v>0</v>
      </c>
      <c r="EH99" s="317">
        <v>0</v>
      </c>
      <c r="EI99" s="317">
        <v>0</v>
      </c>
      <c r="EJ99" s="317">
        <v>1</v>
      </c>
      <c r="EK99" s="317">
        <v>0</v>
      </c>
      <c r="EL99" s="317">
        <v>0</v>
      </c>
      <c r="EM99" s="317">
        <v>0</v>
      </c>
      <c r="EN99" s="317">
        <v>0</v>
      </c>
      <c r="EO99" s="317">
        <v>1</v>
      </c>
      <c r="EP99" s="317">
        <v>0</v>
      </c>
      <c r="EQ99" s="317">
        <v>1</v>
      </c>
      <c r="ER99" s="317">
        <v>0</v>
      </c>
      <c r="ES99" s="317">
        <v>1</v>
      </c>
      <c r="ET99" s="317">
        <v>0</v>
      </c>
    </row>
    <row r="100" spans="1:150" x14ac:dyDescent="0.25">
      <c r="A100" s="310">
        <v>8408</v>
      </c>
      <c r="B100" s="310">
        <v>2023</v>
      </c>
      <c r="C100" s="310" t="s">
        <v>10</v>
      </c>
      <c r="D100" s="310" t="s">
        <v>917</v>
      </c>
      <c r="E100" s="310">
        <v>64903</v>
      </c>
      <c r="F100" s="310" t="s">
        <v>816</v>
      </c>
      <c r="G100" s="310">
        <v>9699</v>
      </c>
      <c r="H100" s="310" t="s">
        <v>917</v>
      </c>
      <c r="I100" s="310">
        <v>64394</v>
      </c>
      <c r="J100" s="310" t="s">
        <v>748</v>
      </c>
      <c r="K100" s="310" t="s">
        <v>760</v>
      </c>
      <c r="L100" s="310" t="s">
        <v>761</v>
      </c>
      <c r="M100" s="310" t="s">
        <v>732</v>
      </c>
      <c r="N100" s="310" t="s">
        <v>733</v>
      </c>
      <c r="O100" s="310" t="s">
        <v>734</v>
      </c>
      <c r="P100" s="310"/>
      <c r="Q100" s="310" t="s">
        <v>735</v>
      </c>
      <c r="R100" s="310" t="s">
        <v>832</v>
      </c>
      <c r="S100" s="310" t="s">
        <v>833</v>
      </c>
      <c r="T100" s="310">
        <v>36.017437999999999</v>
      </c>
      <c r="U100" s="310">
        <v>-106.94596300000001</v>
      </c>
      <c r="V100" s="310"/>
      <c r="W100" s="311">
        <v>1</v>
      </c>
      <c r="X100" s="311">
        <v>1</v>
      </c>
      <c r="Y100" s="310" t="s">
        <v>826</v>
      </c>
      <c r="Z100" s="310" t="s">
        <v>827</v>
      </c>
      <c r="AA100" s="310"/>
      <c r="AB100" s="312">
        <v>0.27511000000000002</v>
      </c>
      <c r="AC100" s="313">
        <v>2.5</v>
      </c>
      <c r="AD100" s="312"/>
      <c r="AE100" s="310"/>
      <c r="AF100" s="310"/>
      <c r="AG100" s="311"/>
      <c r="AH100" s="311"/>
      <c r="AI100" s="312"/>
      <c r="AJ100" s="310"/>
      <c r="AK100" s="314"/>
      <c r="AL100" s="314"/>
      <c r="AM100" s="314">
        <v>20557</v>
      </c>
      <c r="AN100" s="314">
        <v>10710</v>
      </c>
      <c r="AO100" s="314">
        <v>6025</v>
      </c>
      <c r="AP100" s="314">
        <v>3139</v>
      </c>
      <c r="AQ100" s="314"/>
      <c r="AR100" s="314"/>
      <c r="AS100" s="314"/>
      <c r="AT100" s="314"/>
      <c r="AU100" s="314"/>
      <c r="AV100" s="314"/>
      <c r="AW100" s="314"/>
      <c r="AX100" s="314"/>
      <c r="AY100" s="315"/>
      <c r="AZ100" s="315"/>
      <c r="BA100" s="315"/>
      <c r="BB100" s="315"/>
      <c r="BC100" s="315"/>
      <c r="BD100" s="315"/>
      <c r="BE100" s="315"/>
      <c r="BF100" s="315"/>
      <c r="BG100" s="315"/>
      <c r="BH100" s="315"/>
      <c r="BI100" s="315"/>
      <c r="BJ100" s="315"/>
      <c r="BK100" s="315"/>
      <c r="BL100" s="315"/>
      <c r="BM100" s="315"/>
      <c r="BN100" s="315"/>
      <c r="BO100" s="315"/>
      <c r="BP100" s="315"/>
      <c r="BQ100" s="315"/>
      <c r="BR100" s="315"/>
      <c r="BS100" s="315"/>
      <c r="BT100" s="315"/>
      <c r="BU100" s="315"/>
      <c r="BV100" s="315"/>
      <c r="BW100" s="311"/>
      <c r="BX100" s="311"/>
      <c r="BY100" s="311"/>
      <c r="BZ100" s="311"/>
      <c r="CA100" s="311"/>
      <c r="CB100" s="311"/>
      <c r="CC100" s="311"/>
      <c r="CD100" s="311"/>
      <c r="CE100" s="311"/>
      <c r="CF100" s="311"/>
      <c r="CG100" s="311"/>
      <c r="CH100" s="310">
        <v>20557</v>
      </c>
      <c r="CI100" s="310">
        <v>10710</v>
      </c>
      <c r="CJ100" s="310"/>
      <c r="CK100" s="310"/>
      <c r="CL100" s="310"/>
      <c r="CM100" s="310"/>
      <c r="CN100" s="310"/>
      <c r="CO100" s="310"/>
      <c r="CP100" s="310"/>
      <c r="CQ100" s="311" t="s">
        <v>744</v>
      </c>
      <c r="CR100" s="311" t="s">
        <v>742</v>
      </c>
      <c r="CS100" s="311" t="s">
        <v>742</v>
      </c>
      <c r="CT100" s="311"/>
      <c r="CU100" s="311"/>
      <c r="CV100" s="311"/>
      <c r="CW100" s="311"/>
      <c r="CX100" s="311"/>
      <c r="CY100" s="311"/>
      <c r="CZ100" s="311"/>
      <c r="DA100" s="311"/>
      <c r="DB100" s="311"/>
      <c r="DC100" s="311"/>
      <c r="DD100" s="311"/>
      <c r="DE100" s="316"/>
      <c r="DF100" s="314"/>
      <c r="DG100" s="314"/>
      <c r="DH100" s="314"/>
      <c r="DI100" s="314"/>
      <c r="DJ100" s="314"/>
      <c r="DK100" s="314">
        <v>0</v>
      </c>
      <c r="DL100" s="314">
        <v>0</v>
      </c>
      <c r="DM100" s="314">
        <v>0</v>
      </c>
      <c r="DN100" s="314">
        <v>0</v>
      </c>
      <c r="DO100" s="314">
        <v>0</v>
      </c>
      <c r="DP100" s="314">
        <v>0</v>
      </c>
      <c r="DQ100" s="314">
        <v>0</v>
      </c>
      <c r="DR100" s="314">
        <v>6025</v>
      </c>
      <c r="DS100" s="314">
        <v>0</v>
      </c>
      <c r="DT100" s="314">
        <v>0</v>
      </c>
      <c r="DU100" s="314">
        <v>0</v>
      </c>
      <c r="DV100" s="314">
        <v>0</v>
      </c>
      <c r="DW100" s="314">
        <v>6025</v>
      </c>
      <c r="DX100" s="314">
        <v>0</v>
      </c>
      <c r="DY100" s="314">
        <v>6025</v>
      </c>
      <c r="DZ100" s="314">
        <v>0</v>
      </c>
      <c r="EA100" s="314">
        <v>6025</v>
      </c>
      <c r="EB100" s="314">
        <v>0</v>
      </c>
      <c r="EC100" s="317">
        <v>0</v>
      </c>
      <c r="ED100" s="317">
        <v>0</v>
      </c>
      <c r="EE100" s="317">
        <v>0</v>
      </c>
      <c r="EF100" s="317">
        <v>0</v>
      </c>
      <c r="EG100" s="317">
        <v>0</v>
      </c>
      <c r="EH100" s="317">
        <v>0</v>
      </c>
      <c r="EI100" s="317">
        <v>0</v>
      </c>
      <c r="EJ100" s="317">
        <v>1</v>
      </c>
      <c r="EK100" s="317">
        <v>0</v>
      </c>
      <c r="EL100" s="317">
        <v>0</v>
      </c>
      <c r="EM100" s="317">
        <v>0</v>
      </c>
      <c r="EN100" s="317">
        <v>0</v>
      </c>
      <c r="EO100" s="317">
        <v>1</v>
      </c>
      <c r="EP100" s="317">
        <v>0</v>
      </c>
      <c r="EQ100" s="317">
        <v>1</v>
      </c>
      <c r="ER100" s="317">
        <v>0</v>
      </c>
      <c r="ES100" s="317">
        <v>1</v>
      </c>
      <c r="ET100" s="317">
        <v>0</v>
      </c>
    </row>
    <row r="101" spans="1:150" x14ac:dyDescent="0.25">
      <c r="A101" s="310">
        <v>8410</v>
      </c>
      <c r="B101" s="310">
        <v>2023</v>
      </c>
      <c r="C101" s="310" t="s">
        <v>10</v>
      </c>
      <c r="D101" s="310" t="s">
        <v>918</v>
      </c>
      <c r="E101" s="310">
        <v>57575</v>
      </c>
      <c r="F101" s="310" t="s">
        <v>759</v>
      </c>
      <c r="G101" s="310">
        <v>15473</v>
      </c>
      <c r="H101" s="310" t="s">
        <v>823</v>
      </c>
      <c r="I101" s="310">
        <v>59300</v>
      </c>
      <c r="J101" s="310" t="s">
        <v>729</v>
      </c>
      <c r="K101" s="310" t="s">
        <v>760</v>
      </c>
      <c r="L101" s="310" t="s">
        <v>761</v>
      </c>
      <c r="M101" s="310" t="s">
        <v>732</v>
      </c>
      <c r="N101" s="310" t="s">
        <v>733</v>
      </c>
      <c r="O101" s="310" t="s">
        <v>734</v>
      </c>
      <c r="P101" s="310"/>
      <c r="Q101" s="310" t="s">
        <v>735</v>
      </c>
      <c r="R101" s="310" t="s">
        <v>762</v>
      </c>
      <c r="S101" s="310" t="s">
        <v>763</v>
      </c>
      <c r="T101" s="310">
        <v>32.165832999999999</v>
      </c>
      <c r="U101" s="310">
        <v>-107.75055999999999</v>
      </c>
      <c r="V101" s="310"/>
      <c r="W101" s="311">
        <v>2</v>
      </c>
      <c r="X101" s="311">
        <v>2</v>
      </c>
      <c r="Y101" s="310" t="s">
        <v>826</v>
      </c>
      <c r="Z101" s="310" t="s">
        <v>827</v>
      </c>
      <c r="AA101" s="310"/>
      <c r="AB101" s="312">
        <v>0.24593999999999999</v>
      </c>
      <c r="AC101" s="313">
        <v>9</v>
      </c>
      <c r="AD101" s="312"/>
      <c r="AE101" s="310"/>
      <c r="AF101" s="310"/>
      <c r="AG101" s="311"/>
      <c r="AH101" s="311"/>
      <c r="AI101" s="312"/>
      <c r="AJ101" s="310"/>
      <c r="AK101" s="314"/>
      <c r="AL101" s="314"/>
      <c r="AM101" s="314">
        <v>66159</v>
      </c>
      <c r="AN101" s="314">
        <v>28975</v>
      </c>
      <c r="AO101" s="314">
        <v>19390</v>
      </c>
      <c r="AP101" s="314">
        <v>8492</v>
      </c>
      <c r="AQ101" s="314"/>
      <c r="AR101" s="314"/>
      <c r="AS101" s="314"/>
      <c r="AT101" s="314"/>
      <c r="AU101" s="314"/>
      <c r="AV101" s="314"/>
      <c r="AW101" s="314"/>
      <c r="AX101" s="314"/>
      <c r="AY101" s="315"/>
      <c r="AZ101" s="315"/>
      <c r="BA101" s="315"/>
      <c r="BB101" s="315"/>
      <c r="BC101" s="315"/>
      <c r="BD101" s="315"/>
      <c r="BE101" s="315"/>
      <c r="BF101" s="315"/>
      <c r="BG101" s="315"/>
      <c r="BH101" s="315"/>
      <c r="BI101" s="315"/>
      <c r="BJ101" s="315"/>
      <c r="BK101" s="315"/>
      <c r="BL101" s="315"/>
      <c r="BM101" s="315"/>
      <c r="BN101" s="315"/>
      <c r="BO101" s="315"/>
      <c r="BP101" s="315"/>
      <c r="BQ101" s="315"/>
      <c r="BR101" s="315"/>
      <c r="BS101" s="315"/>
      <c r="BT101" s="315"/>
      <c r="BU101" s="315"/>
      <c r="BV101" s="315"/>
      <c r="BW101" s="311"/>
      <c r="BX101" s="311"/>
      <c r="BY101" s="311"/>
      <c r="BZ101" s="311"/>
      <c r="CA101" s="311"/>
      <c r="CB101" s="311"/>
      <c r="CC101" s="311"/>
      <c r="CD101" s="311"/>
      <c r="CE101" s="311"/>
      <c r="CF101" s="311"/>
      <c r="CG101" s="311"/>
      <c r="CH101" s="310">
        <v>66159</v>
      </c>
      <c r="CI101" s="310">
        <v>28975</v>
      </c>
      <c r="CJ101" s="310"/>
      <c r="CK101" s="310"/>
      <c r="CL101" s="310"/>
      <c r="CM101" s="310"/>
      <c r="CN101" s="310"/>
      <c r="CO101" s="310"/>
      <c r="CP101" s="310"/>
      <c r="CQ101" s="311" t="s">
        <v>744</v>
      </c>
      <c r="CR101" s="311" t="s">
        <v>742</v>
      </c>
      <c r="CS101" s="311" t="s">
        <v>742</v>
      </c>
      <c r="CT101" s="311"/>
      <c r="CU101" s="311"/>
      <c r="CV101" s="311"/>
      <c r="CW101" s="311"/>
      <c r="CX101" s="311"/>
      <c r="CY101" s="311"/>
      <c r="CZ101" s="311"/>
      <c r="DA101" s="311"/>
      <c r="DB101" s="311"/>
      <c r="DC101" s="311"/>
      <c r="DD101" s="311"/>
      <c r="DE101" s="316"/>
      <c r="DF101" s="314"/>
      <c r="DG101" s="314"/>
      <c r="DH101" s="314"/>
      <c r="DI101" s="314"/>
      <c r="DJ101" s="314"/>
      <c r="DK101" s="314">
        <v>0</v>
      </c>
      <c r="DL101" s="314">
        <v>0</v>
      </c>
      <c r="DM101" s="314">
        <v>0</v>
      </c>
      <c r="DN101" s="314">
        <v>0</v>
      </c>
      <c r="DO101" s="314">
        <v>0</v>
      </c>
      <c r="DP101" s="314">
        <v>0</v>
      </c>
      <c r="DQ101" s="314">
        <v>0</v>
      </c>
      <c r="DR101" s="314">
        <v>19390</v>
      </c>
      <c r="DS101" s="314">
        <v>0</v>
      </c>
      <c r="DT101" s="314">
        <v>0</v>
      </c>
      <c r="DU101" s="314">
        <v>0</v>
      </c>
      <c r="DV101" s="314">
        <v>0</v>
      </c>
      <c r="DW101" s="314">
        <v>19390</v>
      </c>
      <c r="DX101" s="314">
        <v>0</v>
      </c>
      <c r="DY101" s="314">
        <v>19390</v>
      </c>
      <c r="DZ101" s="314">
        <v>0</v>
      </c>
      <c r="EA101" s="314">
        <v>19390</v>
      </c>
      <c r="EB101" s="314">
        <v>0</v>
      </c>
      <c r="EC101" s="317">
        <v>0</v>
      </c>
      <c r="ED101" s="317">
        <v>0</v>
      </c>
      <c r="EE101" s="317">
        <v>0</v>
      </c>
      <c r="EF101" s="317">
        <v>0</v>
      </c>
      <c r="EG101" s="317">
        <v>0</v>
      </c>
      <c r="EH101" s="317">
        <v>0</v>
      </c>
      <c r="EI101" s="317">
        <v>0</v>
      </c>
      <c r="EJ101" s="317">
        <v>1</v>
      </c>
      <c r="EK101" s="317">
        <v>0</v>
      </c>
      <c r="EL101" s="317">
        <v>0</v>
      </c>
      <c r="EM101" s="317">
        <v>0</v>
      </c>
      <c r="EN101" s="317">
        <v>0</v>
      </c>
      <c r="EO101" s="317">
        <v>1</v>
      </c>
      <c r="EP101" s="317">
        <v>0</v>
      </c>
      <c r="EQ101" s="317">
        <v>1</v>
      </c>
      <c r="ER101" s="317">
        <v>0</v>
      </c>
      <c r="ES101" s="317">
        <v>1</v>
      </c>
      <c r="ET101" s="317">
        <v>0</v>
      </c>
    </row>
    <row r="102" spans="1:150" x14ac:dyDescent="0.25">
      <c r="A102" s="310">
        <v>8411</v>
      </c>
      <c r="B102" s="310">
        <v>2023</v>
      </c>
      <c r="C102" s="310" t="s">
        <v>10</v>
      </c>
      <c r="D102" s="310" t="s">
        <v>919</v>
      </c>
      <c r="E102" s="310">
        <v>64065</v>
      </c>
      <c r="F102" s="310" t="s">
        <v>759</v>
      </c>
      <c r="G102" s="310">
        <v>15473</v>
      </c>
      <c r="H102" s="310" t="s">
        <v>877</v>
      </c>
      <c r="I102" s="310">
        <v>56545</v>
      </c>
      <c r="J102" s="310" t="s">
        <v>748</v>
      </c>
      <c r="K102" s="310" t="s">
        <v>760</v>
      </c>
      <c r="L102" s="310" t="s">
        <v>761</v>
      </c>
      <c r="M102" s="310" t="s">
        <v>732</v>
      </c>
      <c r="N102" s="310" t="s">
        <v>733</v>
      </c>
      <c r="O102" s="310" t="s">
        <v>734</v>
      </c>
      <c r="P102" s="310"/>
      <c r="Q102" s="310" t="s">
        <v>735</v>
      </c>
      <c r="R102" s="310" t="s">
        <v>896</v>
      </c>
      <c r="S102" s="310" t="s">
        <v>897</v>
      </c>
      <c r="T102" s="310">
        <v>34.390678999999999</v>
      </c>
      <c r="U102" s="310">
        <v>-105.492126</v>
      </c>
      <c r="V102" s="310"/>
      <c r="W102" s="311">
        <v>1</v>
      </c>
      <c r="X102" s="311">
        <v>1</v>
      </c>
      <c r="Y102" s="310" t="s">
        <v>840</v>
      </c>
      <c r="Z102" s="310" t="s">
        <v>841</v>
      </c>
      <c r="AA102" s="310"/>
      <c r="AB102" s="312">
        <v>0.39483000000000001</v>
      </c>
      <c r="AC102" s="313">
        <v>105</v>
      </c>
      <c r="AD102" s="312"/>
      <c r="AE102" s="310"/>
      <c r="AF102" s="310"/>
      <c r="AG102" s="311"/>
      <c r="AH102" s="311"/>
      <c r="AI102" s="312"/>
      <c r="AJ102" s="310"/>
      <c r="AK102" s="314"/>
      <c r="AL102" s="314"/>
      <c r="AM102" s="314">
        <v>1239129</v>
      </c>
      <c r="AN102" s="314">
        <v>439152</v>
      </c>
      <c r="AO102" s="314">
        <v>363168</v>
      </c>
      <c r="AP102" s="314">
        <v>128708</v>
      </c>
      <c r="AQ102" s="314"/>
      <c r="AR102" s="314"/>
      <c r="AS102" s="314"/>
      <c r="AT102" s="314"/>
      <c r="AU102" s="314"/>
      <c r="AV102" s="314"/>
      <c r="AW102" s="314"/>
      <c r="AX102" s="314"/>
      <c r="AY102" s="315"/>
      <c r="AZ102" s="315"/>
      <c r="BA102" s="315"/>
      <c r="BB102" s="315"/>
      <c r="BC102" s="315"/>
      <c r="BD102" s="315"/>
      <c r="BE102" s="315"/>
      <c r="BF102" s="315"/>
      <c r="BG102" s="315"/>
      <c r="BH102" s="315"/>
      <c r="BI102" s="315"/>
      <c r="BJ102" s="315"/>
      <c r="BK102" s="315"/>
      <c r="BL102" s="315"/>
      <c r="BM102" s="315"/>
      <c r="BN102" s="315"/>
      <c r="BO102" s="315"/>
      <c r="BP102" s="315"/>
      <c r="BQ102" s="315"/>
      <c r="BR102" s="315"/>
      <c r="BS102" s="315"/>
      <c r="BT102" s="315"/>
      <c r="BU102" s="315"/>
      <c r="BV102" s="315"/>
      <c r="BW102" s="311"/>
      <c r="BX102" s="311"/>
      <c r="BY102" s="311"/>
      <c r="BZ102" s="311"/>
      <c r="CA102" s="311"/>
      <c r="CB102" s="311"/>
      <c r="CC102" s="311"/>
      <c r="CD102" s="311"/>
      <c r="CE102" s="311"/>
      <c r="CF102" s="311"/>
      <c r="CG102" s="311"/>
      <c r="CH102" s="310">
        <v>1239129</v>
      </c>
      <c r="CI102" s="310">
        <v>439152</v>
      </c>
      <c r="CJ102" s="310"/>
      <c r="CK102" s="310"/>
      <c r="CL102" s="310"/>
      <c r="CM102" s="310"/>
      <c r="CN102" s="310"/>
      <c r="CO102" s="310"/>
      <c r="CP102" s="310"/>
      <c r="CQ102" s="311" t="s">
        <v>744</v>
      </c>
      <c r="CR102" s="311" t="s">
        <v>742</v>
      </c>
      <c r="CS102" s="311" t="s">
        <v>742</v>
      </c>
      <c r="CT102" s="311"/>
      <c r="CU102" s="311"/>
      <c r="CV102" s="311"/>
      <c r="CW102" s="311"/>
      <c r="CX102" s="311"/>
      <c r="CY102" s="311"/>
      <c r="CZ102" s="311"/>
      <c r="DA102" s="311"/>
      <c r="DB102" s="311"/>
      <c r="DC102" s="311"/>
      <c r="DD102" s="311"/>
      <c r="DE102" s="316"/>
      <c r="DF102" s="314"/>
      <c r="DG102" s="314"/>
      <c r="DH102" s="314"/>
      <c r="DI102" s="314"/>
      <c r="DJ102" s="314"/>
      <c r="DK102" s="314">
        <v>0</v>
      </c>
      <c r="DL102" s="314">
        <v>0</v>
      </c>
      <c r="DM102" s="314">
        <v>0</v>
      </c>
      <c r="DN102" s="314">
        <v>0</v>
      </c>
      <c r="DO102" s="314">
        <v>0</v>
      </c>
      <c r="DP102" s="314">
        <v>0</v>
      </c>
      <c r="DQ102" s="314">
        <v>363168</v>
      </c>
      <c r="DR102" s="314">
        <v>0</v>
      </c>
      <c r="DS102" s="314">
        <v>0</v>
      </c>
      <c r="DT102" s="314">
        <v>0</v>
      </c>
      <c r="DU102" s="314">
        <v>0</v>
      </c>
      <c r="DV102" s="314">
        <v>0</v>
      </c>
      <c r="DW102" s="314">
        <v>363168</v>
      </c>
      <c r="DX102" s="314">
        <v>0</v>
      </c>
      <c r="DY102" s="314">
        <v>363168</v>
      </c>
      <c r="DZ102" s="314">
        <v>0</v>
      </c>
      <c r="EA102" s="314">
        <v>363168</v>
      </c>
      <c r="EB102" s="314">
        <v>0</v>
      </c>
      <c r="EC102" s="317">
        <v>0</v>
      </c>
      <c r="ED102" s="317">
        <v>0</v>
      </c>
      <c r="EE102" s="317">
        <v>0</v>
      </c>
      <c r="EF102" s="317">
        <v>0</v>
      </c>
      <c r="EG102" s="317">
        <v>0</v>
      </c>
      <c r="EH102" s="317">
        <v>0</v>
      </c>
      <c r="EI102" s="317">
        <v>1</v>
      </c>
      <c r="EJ102" s="317">
        <v>0</v>
      </c>
      <c r="EK102" s="317">
        <v>0</v>
      </c>
      <c r="EL102" s="317">
        <v>0</v>
      </c>
      <c r="EM102" s="317">
        <v>0</v>
      </c>
      <c r="EN102" s="317">
        <v>0</v>
      </c>
      <c r="EO102" s="317">
        <v>1</v>
      </c>
      <c r="EP102" s="317">
        <v>0</v>
      </c>
      <c r="EQ102" s="317">
        <v>1</v>
      </c>
      <c r="ER102" s="317">
        <v>0</v>
      </c>
      <c r="ES102" s="317">
        <v>1</v>
      </c>
      <c r="ET102" s="317">
        <v>0</v>
      </c>
    </row>
    <row r="103" spans="1:150" x14ac:dyDescent="0.25">
      <c r="A103" s="310">
        <v>8412</v>
      </c>
      <c r="B103" s="310">
        <v>2023</v>
      </c>
      <c r="C103" s="310" t="s">
        <v>10</v>
      </c>
      <c r="D103" s="310" t="s">
        <v>920</v>
      </c>
      <c r="E103" s="310">
        <v>58098</v>
      </c>
      <c r="F103" s="310" t="s">
        <v>759</v>
      </c>
      <c r="G103" s="310">
        <v>15473</v>
      </c>
      <c r="H103" s="310" t="s">
        <v>921</v>
      </c>
      <c r="I103" s="310">
        <v>15399</v>
      </c>
      <c r="J103" s="310" t="s">
        <v>748</v>
      </c>
      <c r="K103" s="310" t="s">
        <v>760</v>
      </c>
      <c r="L103" s="310" t="s">
        <v>761</v>
      </c>
      <c r="M103" s="310" t="s">
        <v>732</v>
      </c>
      <c r="N103" s="310" t="s">
        <v>733</v>
      </c>
      <c r="O103" s="310" t="s">
        <v>734</v>
      </c>
      <c r="P103" s="310"/>
      <c r="Q103" s="310" t="s">
        <v>735</v>
      </c>
      <c r="R103" s="310" t="s">
        <v>874</v>
      </c>
      <c r="S103" s="310" t="s">
        <v>875</v>
      </c>
      <c r="T103" s="310">
        <v>34.651111</v>
      </c>
      <c r="U103" s="310">
        <v>-105.46166700000001</v>
      </c>
      <c r="V103" s="310"/>
      <c r="W103" s="311">
        <v>1</v>
      </c>
      <c r="X103" s="311">
        <v>1</v>
      </c>
      <c r="Y103" s="310" t="s">
        <v>840</v>
      </c>
      <c r="Z103" s="310" t="s">
        <v>841</v>
      </c>
      <c r="AA103" s="310"/>
      <c r="AB103" s="312">
        <v>0.43384</v>
      </c>
      <c r="AC103" s="313">
        <v>298</v>
      </c>
      <c r="AD103" s="312"/>
      <c r="AE103" s="310"/>
      <c r="AF103" s="310"/>
      <c r="AG103" s="311"/>
      <c r="AH103" s="311"/>
      <c r="AI103" s="312"/>
      <c r="AJ103" s="310"/>
      <c r="AK103" s="314"/>
      <c r="AL103" s="314"/>
      <c r="AM103" s="314">
        <v>3864162</v>
      </c>
      <c r="AN103" s="314">
        <v>1309334</v>
      </c>
      <c r="AO103" s="314">
        <v>1132521</v>
      </c>
      <c r="AP103" s="314">
        <v>383744</v>
      </c>
      <c r="AQ103" s="314"/>
      <c r="AR103" s="314"/>
      <c r="AS103" s="314"/>
      <c r="AT103" s="314"/>
      <c r="AU103" s="314"/>
      <c r="AV103" s="314"/>
      <c r="AW103" s="314"/>
      <c r="AX103" s="314"/>
      <c r="AY103" s="315"/>
      <c r="AZ103" s="315"/>
      <c r="BA103" s="315"/>
      <c r="BB103" s="315"/>
      <c r="BC103" s="315"/>
      <c r="BD103" s="315"/>
      <c r="BE103" s="315"/>
      <c r="BF103" s="315"/>
      <c r="BG103" s="315"/>
      <c r="BH103" s="315"/>
      <c r="BI103" s="315"/>
      <c r="BJ103" s="315"/>
      <c r="BK103" s="315"/>
      <c r="BL103" s="315"/>
      <c r="BM103" s="315"/>
      <c r="BN103" s="315"/>
      <c r="BO103" s="315"/>
      <c r="BP103" s="315"/>
      <c r="BQ103" s="315"/>
      <c r="BR103" s="315"/>
      <c r="BS103" s="315"/>
      <c r="BT103" s="315"/>
      <c r="BU103" s="315"/>
      <c r="BV103" s="315"/>
      <c r="BW103" s="311"/>
      <c r="BX103" s="311"/>
      <c r="BY103" s="311"/>
      <c r="BZ103" s="311"/>
      <c r="CA103" s="311"/>
      <c r="CB103" s="311"/>
      <c r="CC103" s="311"/>
      <c r="CD103" s="311"/>
      <c r="CE103" s="311"/>
      <c r="CF103" s="311"/>
      <c r="CG103" s="311"/>
      <c r="CH103" s="310">
        <v>3864162</v>
      </c>
      <c r="CI103" s="310">
        <v>1309334</v>
      </c>
      <c r="CJ103" s="310"/>
      <c r="CK103" s="310"/>
      <c r="CL103" s="310"/>
      <c r="CM103" s="310"/>
      <c r="CN103" s="310"/>
      <c r="CO103" s="310"/>
      <c r="CP103" s="310"/>
      <c r="CQ103" s="311" t="s">
        <v>744</v>
      </c>
      <c r="CR103" s="311" t="s">
        <v>742</v>
      </c>
      <c r="CS103" s="311" t="s">
        <v>742</v>
      </c>
      <c r="CT103" s="311"/>
      <c r="CU103" s="311"/>
      <c r="CV103" s="311"/>
      <c r="CW103" s="311"/>
      <c r="CX103" s="311"/>
      <c r="CY103" s="311"/>
      <c r="CZ103" s="311"/>
      <c r="DA103" s="311"/>
      <c r="DB103" s="311"/>
      <c r="DC103" s="311"/>
      <c r="DD103" s="311"/>
      <c r="DE103" s="316"/>
      <c r="DF103" s="314"/>
      <c r="DG103" s="314"/>
      <c r="DH103" s="314"/>
      <c r="DI103" s="314"/>
      <c r="DJ103" s="314"/>
      <c r="DK103" s="314">
        <v>0</v>
      </c>
      <c r="DL103" s="314">
        <v>0</v>
      </c>
      <c r="DM103" s="314">
        <v>0</v>
      </c>
      <c r="DN103" s="314">
        <v>0</v>
      </c>
      <c r="DO103" s="314">
        <v>0</v>
      </c>
      <c r="DP103" s="314">
        <v>0</v>
      </c>
      <c r="DQ103" s="314">
        <v>1132521</v>
      </c>
      <c r="DR103" s="314">
        <v>0</v>
      </c>
      <c r="DS103" s="314">
        <v>0</v>
      </c>
      <c r="DT103" s="314">
        <v>0</v>
      </c>
      <c r="DU103" s="314">
        <v>0</v>
      </c>
      <c r="DV103" s="314">
        <v>0</v>
      </c>
      <c r="DW103" s="314">
        <v>1132521</v>
      </c>
      <c r="DX103" s="314">
        <v>0</v>
      </c>
      <c r="DY103" s="314">
        <v>1132521</v>
      </c>
      <c r="DZ103" s="314">
        <v>0</v>
      </c>
      <c r="EA103" s="314">
        <v>1132521</v>
      </c>
      <c r="EB103" s="314">
        <v>0</v>
      </c>
      <c r="EC103" s="317">
        <v>0</v>
      </c>
      <c r="ED103" s="317">
        <v>0</v>
      </c>
      <c r="EE103" s="317">
        <v>0</v>
      </c>
      <c r="EF103" s="317">
        <v>0</v>
      </c>
      <c r="EG103" s="317">
        <v>0</v>
      </c>
      <c r="EH103" s="317">
        <v>0</v>
      </c>
      <c r="EI103" s="317">
        <v>1</v>
      </c>
      <c r="EJ103" s="317">
        <v>0</v>
      </c>
      <c r="EK103" s="317">
        <v>0</v>
      </c>
      <c r="EL103" s="317">
        <v>0</v>
      </c>
      <c r="EM103" s="317">
        <v>0</v>
      </c>
      <c r="EN103" s="317">
        <v>0</v>
      </c>
      <c r="EO103" s="317">
        <v>1</v>
      </c>
      <c r="EP103" s="317">
        <v>0</v>
      </c>
      <c r="EQ103" s="317">
        <v>1</v>
      </c>
      <c r="ER103" s="317">
        <v>0</v>
      </c>
      <c r="ES103" s="317">
        <v>1</v>
      </c>
      <c r="ET103" s="317">
        <v>0</v>
      </c>
    </row>
    <row r="104" spans="1:150" x14ac:dyDescent="0.25">
      <c r="A104" s="310">
        <v>8413</v>
      </c>
      <c r="B104" s="310">
        <v>2023</v>
      </c>
      <c r="C104" s="310" t="s">
        <v>10</v>
      </c>
      <c r="D104" s="310" t="s">
        <v>922</v>
      </c>
      <c r="E104" s="310">
        <v>7593</v>
      </c>
      <c r="F104" s="310" t="s">
        <v>923</v>
      </c>
      <c r="G104" s="310">
        <v>13777</v>
      </c>
      <c r="H104" s="310" t="s">
        <v>817</v>
      </c>
      <c r="I104" s="310">
        <v>11204</v>
      </c>
      <c r="J104" s="310" t="s">
        <v>729</v>
      </c>
      <c r="K104" s="310" t="s">
        <v>778</v>
      </c>
      <c r="L104" s="310" t="s">
        <v>779</v>
      </c>
      <c r="M104" s="310" t="s">
        <v>732</v>
      </c>
      <c r="N104" s="310" t="s">
        <v>733</v>
      </c>
      <c r="O104" s="310" t="s">
        <v>734</v>
      </c>
      <c r="P104" s="310"/>
      <c r="Q104" s="310" t="s">
        <v>735</v>
      </c>
      <c r="R104" s="310" t="s">
        <v>818</v>
      </c>
      <c r="S104" s="310" t="s">
        <v>819</v>
      </c>
      <c r="T104" s="310">
        <v>36.592775000000003</v>
      </c>
      <c r="U104" s="310">
        <v>-106.73213</v>
      </c>
      <c r="V104" s="310"/>
      <c r="W104" s="311">
        <v>1</v>
      </c>
      <c r="X104" s="311">
        <v>1</v>
      </c>
      <c r="Y104" s="310" t="s">
        <v>820</v>
      </c>
      <c r="Z104" s="310" t="s">
        <v>821</v>
      </c>
      <c r="AA104" s="310"/>
      <c r="AB104" s="312">
        <v>2.1760000000000002E-2</v>
      </c>
      <c r="AC104" s="313">
        <v>8</v>
      </c>
      <c r="AD104" s="312"/>
      <c r="AE104" s="310"/>
      <c r="AF104" s="310"/>
      <c r="AG104" s="311"/>
      <c r="AH104" s="311"/>
      <c r="AI104" s="312"/>
      <c r="AJ104" s="310"/>
      <c r="AK104" s="314"/>
      <c r="AL104" s="314"/>
      <c r="AM104" s="314">
        <v>5203</v>
      </c>
      <c r="AN104" s="314">
        <v>4425</v>
      </c>
      <c r="AO104" s="314">
        <v>1525</v>
      </c>
      <c r="AP104" s="314">
        <v>1297</v>
      </c>
      <c r="AQ104" s="314"/>
      <c r="AR104" s="314"/>
      <c r="AS104" s="314"/>
      <c r="AT104" s="314"/>
      <c r="AU104" s="314"/>
      <c r="AV104" s="314"/>
      <c r="AW104" s="314"/>
      <c r="AX104" s="314"/>
      <c r="AY104" s="315"/>
      <c r="AZ104" s="315"/>
      <c r="BA104" s="315"/>
      <c r="BB104" s="315"/>
      <c r="BC104" s="315"/>
      <c r="BD104" s="315"/>
      <c r="BE104" s="315"/>
      <c r="BF104" s="315"/>
      <c r="BG104" s="315"/>
      <c r="BH104" s="315"/>
      <c r="BI104" s="315"/>
      <c r="BJ104" s="315"/>
      <c r="BK104" s="315"/>
      <c r="BL104" s="315"/>
      <c r="BM104" s="315"/>
      <c r="BN104" s="315"/>
      <c r="BO104" s="315"/>
      <c r="BP104" s="315"/>
      <c r="BQ104" s="315"/>
      <c r="BR104" s="315"/>
      <c r="BS104" s="315"/>
      <c r="BT104" s="315"/>
      <c r="BU104" s="315"/>
      <c r="BV104" s="315"/>
      <c r="BW104" s="311"/>
      <c r="BX104" s="311"/>
      <c r="BY104" s="311"/>
      <c r="BZ104" s="311"/>
      <c r="CA104" s="311"/>
      <c r="CB104" s="311"/>
      <c r="CC104" s="311"/>
      <c r="CD104" s="311"/>
      <c r="CE104" s="311"/>
      <c r="CF104" s="311"/>
      <c r="CG104" s="311"/>
      <c r="CH104" s="310">
        <v>5203</v>
      </c>
      <c r="CI104" s="310">
        <v>4425</v>
      </c>
      <c r="CJ104" s="310"/>
      <c r="CK104" s="310"/>
      <c r="CL104" s="310"/>
      <c r="CM104" s="310"/>
      <c r="CN104" s="310"/>
      <c r="CO104" s="310"/>
      <c r="CP104" s="310"/>
      <c r="CQ104" s="311" t="s">
        <v>744</v>
      </c>
      <c r="CR104" s="311" t="s">
        <v>742</v>
      </c>
      <c r="CS104" s="311" t="s">
        <v>742</v>
      </c>
      <c r="CT104" s="311"/>
      <c r="CU104" s="311"/>
      <c r="CV104" s="311"/>
      <c r="CW104" s="311"/>
      <c r="CX104" s="311"/>
      <c r="CY104" s="311"/>
      <c r="CZ104" s="311"/>
      <c r="DA104" s="311"/>
      <c r="DB104" s="311"/>
      <c r="DC104" s="311"/>
      <c r="DD104" s="311"/>
      <c r="DE104" s="316"/>
      <c r="DF104" s="314"/>
      <c r="DG104" s="314"/>
      <c r="DH104" s="314"/>
      <c r="DI104" s="314"/>
      <c r="DJ104" s="314"/>
      <c r="DK104" s="314">
        <v>0</v>
      </c>
      <c r="DL104" s="314">
        <v>0</v>
      </c>
      <c r="DM104" s="314">
        <v>0</v>
      </c>
      <c r="DN104" s="314">
        <v>0</v>
      </c>
      <c r="DO104" s="314">
        <v>1525</v>
      </c>
      <c r="DP104" s="314">
        <v>0</v>
      </c>
      <c r="DQ104" s="314">
        <v>0</v>
      </c>
      <c r="DR104" s="314">
        <v>0</v>
      </c>
      <c r="DS104" s="314">
        <v>0</v>
      </c>
      <c r="DT104" s="314">
        <v>0</v>
      </c>
      <c r="DU104" s="314">
        <v>0</v>
      </c>
      <c r="DV104" s="314">
        <v>0</v>
      </c>
      <c r="DW104" s="314">
        <v>1525</v>
      </c>
      <c r="DX104" s="314">
        <v>0</v>
      </c>
      <c r="DY104" s="314">
        <v>0</v>
      </c>
      <c r="DZ104" s="314">
        <v>0</v>
      </c>
      <c r="EA104" s="314">
        <v>1525</v>
      </c>
      <c r="EB104" s="314">
        <v>0</v>
      </c>
      <c r="EC104" s="317">
        <v>0</v>
      </c>
      <c r="ED104" s="317">
        <v>0</v>
      </c>
      <c r="EE104" s="317">
        <v>0</v>
      </c>
      <c r="EF104" s="317">
        <v>0</v>
      </c>
      <c r="EG104" s="317">
        <v>1</v>
      </c>
      <c r="EH104" s="317">
        <v>0</v>
      </c>
      <c r="EI104" s="317">
        <v>0</v>
      </c>
      <c r="EJ104" s="317">
        <v>0</v>
      </c>
      <c r="EK104" s="317">
        <v>0</v>
      </c>
      <c r="EL104" s="317">
        <v>0</v>
      </c>
      <c r="EM104" s="317">
        <v>0</v>
      </c>
      <c r="EN104" s="317">
        <v>0</v>
      </c>
      <c r="EO104" s="317">
        <v>1</v>
      </c>
      <c r="EP104" s="317">
        <v>0</v>
      </c>
      <c r="EQ104" s="317">
        <v>0</v>
      </c>
      <c r="ER104" s="317">
        <v>0</v>
      </c>
      <c r="ES104" s="317">
        <v>1</v>
      </c>
      <c r="ET104" s="317">
        <v>0</v>
      </c>
    </row>
    <row r="105" spans="1:150" x14ac:dyDescent="0.25">
      <c r="A105" s="310">
        <v>8414</v>
      </c>
      <c r="B105" s="310">
        <v>2023</v>
      </c>
      <c r="C105" s="310" t="s">
        <v>10</v>
      </c>
      <c r="D105" s="310" t="s">
        <v>924</v>
      </c>
      <c r="E105" s="310">
        <v>6402</v>
      </c>
      <c r="F105" s="310" t="s">
        <v>925</v>
      </c>
      <c r="G105" s="310">
        <v>27000</v>
      </c>
      <c r="H105" s="310" t="s">
        <v>926</v>
      </c>
      <c r="I105" s="310">
        <v>2518</v>
      </c>
      <c r="J105" s="310" t="s">
        <v>729</v>
      </c>
      <c r="K105" s="310" t="s">
        <v>778</v>
      </c>
      <c r="L105" s="310" t="s">
        <v>779</v>
      </c>
      <c r="M105" s="310" t="s">
        <v>732</v>
      </c>
      <c r="N105" s="310" t="s">
        <v>733</v>
      </c>
      <c r="O105" s="310" t="s">
        <v>734</v>
      </c>
      <c r="P105" s="310"/>
      <c r="Q105" s="310" t="s">
        <v>735</v>
      </c>
      <c r="R105" s="310" t="s">
        <v>913</v>
      </c>
      <c r="S105" s="310" t="s">
        <v>914</v>
      </c>
      <c r="T105" s="310">
        <v>33.153357999999997</v>
      </c>
      <c r="U105" s="310">
        <v>-107.191973</v>
      </c>
      <c r="V105" s="310"/>
      <c r="W105" s="311">
        <v>3</v>
      </c>
      <c r="X105" s="311">
        <v>3</v>
      </c>
      <c r="Y105" s="310" t="s">
        <v>820</v>
      </c>
      <c r="Z105" s="310" t="s">
        <v>821</v>
      </c>
      <c r="AA105" s="310"/>
      <c r="AB105" s="312">
        <v>0</v>
      </c>
      <c r="AC105" s="313">
        <v>27.9</v>
      </c>
      <c r="AD105" s="312"/>
      <c r="AE105" s="310"/>
      <c r="AF105" s="310"/>
      <c r="AG105" s="311"/>
      <c r="AH105" s="311"/>
      <c r="AI105" s="312"/>
      <c r="AJ105" s="310"/>
      <c r="AK105" s="314"/>
      <c r="AL105" s="314"/>
      <c r="AM105" s="314">
        <v>179577</v>
      </c>
      <c r="AN105" s="314">
        <v>176933.00099999999</v>
      </c>
      <c r="AO105" s="314">
        <v>-31601.001</v>
      </c>
      <c r="AP105" s="314">
        <v>51855.999000000003</v>
      </c>
      <c r="AQ105" s="314"/>
      <c r="AR105" s="314"/>
      <c r="AS105" s="314"/>
      <c r="AT105" s="314"/>
      <c r="AU105" s="314"/>
      <c r="AV105" s="314"/>
      <c r="AW105" s="314"/>
      <c r="AX105" s="314"/>
      <c r="AY105" s="315"/>
      <c r="AZ105" s="315"/>
      <c r="BA105" s="315"/>
      <c r="BB105" s="315"/>
      <c r="BC105" s="315"/>
      <c r="BD105" s="315"/>
      <c r="BE105" s="315"/>
      <c r="BF105" s="315"/>
      <c r="BG105" s="315"/>
      <c r="BH105" s="315"/>
      <c r="BI105" s="315"/>
      <c r="BJ105" s="315"/>
      <c r="BK105" s="315"/>
      <c r="BL105" s="315"/>
      <c r="BM105" s="315"/>
      <c r="BN105" s="315"/>
      <c r="BO105" s="315"/>
      <c r="BP105" s="315"/>
      <c r="BQ105" s="315"/>
      <c r="BR105" s="315"/>
      <c r="BS105" s="315"/>
      <c r="BT105" s="315"/>
      <c r="BU105" s="315"/>
      <c r="BV105" s="315"/>
      <c r="BW105" s="311"/>
      <c r="BX105" s="311"/>
      <c r="BY105" s="311"/>
      <c r="BZ105" s="311"/>
      <c r="CA105" s="311"/>
      <c r="CB105" s="311"/>
      <c r="CC105" s="311"/>
      <c r="CD105" s="311"/>
      <c r="CE105" s="311"/>
      <c r="CF105" s="311"/>
      <c r="CG105" s="311"/>
      <c r="CH105" s="310">
        <v>179577</v>
      </c>
      <c r="CI105" s="310">
        <v>176933.00099999999</v>
      </c>
      <c r="CJ105" s="310"/>
      <c r="CK105" s="310"/>
      <c r="CL105" s="310"/>
      <c r="CM105" s="310"/>
      <c r="CN105" s="310"/>
      <c r="CO105" s="310"/>
      <c r="CP105" s="310"/>
      <c r="CQ105" s="311" t="s">
        <v>744</v>
      </c>
      <c r="CR105" s="311" t="s">
        <v>742</v>
      </c>
      <c r="CS105" s="311" t="s">
        <v>742</v>
      </c>
      <c r="CT105" s="311"/>
      <c r="CU105" s="311"/>
      <c r="CV105" s="311"/>
      <c r="CW105" s="311"/>
      <c r="CX105" s="311"/>
      <c r="CY105" s="311"/>
      <c r="CZ105" s="311"/>
      <c r="DA105" s="311"/>
      <c r="DB105" s="311"/>
      <c r="DC105" s="311"/>
      <c r="DD105" s="311"/>
      <c r="DE105" s="316"/>
      <c r="DF105" s="314"/>
      <c r="DG105" s="314"/>
      <c r="DH105" s="314"/>
      <c r="DI105" s="314"/>
      <c r="DJ105" s="314"/>
      <c r="DK105" s="314">
        <v>0</v>
      </c>
      <c r="DL105" s="314">
        <v>0</v>
      </c>
      <c r="DM105" s="314">
        <v>0</v>
      </c>
      <c r="DN105" s="314">
        <v>0</v>
      </c>
      <c r="DO105" s="314">
        <v>-31601</v>
      </c>
      <c r="DP105" s="314">
        <v>0</v>
      </c>
      <c r="DQ105" s="314">
        <v>0</v>
      </c>
      <c r="DR105" s="314">
        <v>0</v>
      </c>
      <c r="DS105" s="314">
        <v>0</v>
      </c>
      <c r="DT105" s="314">
        <v>0</v>
      </c>
      <c r="DU105" s="314">
        <v>0</v>
      </c>
      <c r="DV105" s="314">
        <v>0</v>
      </c>
      <c r="DW105" s="314">
        <v>-31601</v>
      </c>
      <c r="DX105" s="314">
        <v>0</v>
      </c>
      <c r="DY105" s="314">
        <v>0</v>
      </c>
      <c r="DZ105" s="314">
        <v>0</v>
      </c>
      <c r="EA105" s="314">
        <v>-31601</v>
      </c>
      <c r="EB105" s="314">
        <v>0</v>
      </c>
      <c r="EC105" s="317"/>
      <c r="ED105" s="317"/>
      <c r="EE105" s="317"/>
      <c r="EF105" s="317"/>
      <c r="EG105" s="317"/>
      <c r="EH105" s="317"/>
      <c r="EI105" s="317"/>
      <c r="EJ105" s="317"/>
      <c r="EK105" s="317"/>
      <c r="EL105" s="317"/>
      <c r="EM105" s="317"/>
      <c r="EN105" s="317"/>
      <c r="EO105" s="317"/>
      <c r="EP105" s="317"/>
      <c r="EQ105" s="317"/>
      <c r="ER105" s="317"/>
      <c r="ES105" s="317"/>
      <c r="ET105" s="317"/>
    </row>
    <row r="106" spans="1:150" x14ac:dyDescent="0.25">
      <c r="A106" s="310">
        <v>8415</v>
      </c>
      <c r="B106" s="310">
        <v>2023</v>
      </c>
      <c r="C106" s="310" t="s">
        <v>10</v>
      </c>
      <c r="D106" s="310" t="s">
        <v>927</v>
      </c>
      <c r="E106" s="310">
        <v>63860</v>
      </c>
      <c r="F106" s="310" t="s">
        <v>759</v>
      </c>
      <c r="G106" s="310">
        <v>15473</v>
      </c>
      <c r="H106" s="310" t="s">
        <v>873</v>
      </c>
      <c r="I106" s="310">
        <v>61156</v>
      </c>
      <c r="J106" s="310" t="s">
        <v>748</v>
      </c>
      <c r="K106" s="310" t="s">
        <v>760</v>
      </c>
      <c r="L106" s="310" t="s">
        <v>761</v>
      </c>
      <c r="M106" s="310" t="s">
        <v>732</v>
      </c>
      <c r="N106" s="310" t="s">
        <v>733</v>
      </c>
      <c r="O106" s="310" t="s">
        <v>734</v>
      </c>
      <c r="P106" s="310"/>
      <c r="Q106" s="310" t="s">
        <v>735</v>
      </c>
      <c r="R106" s="310" t="s">
        <v>832</v>
      </c>
      <c r="S106" s="310" t="s">
        <v>833</v>
      </c>
      <c r="T106" s="310">
        <v>35.353999999999999</v>
      </c>
      <c r="U106" s="310">
        <v>-106.858</v>
      </c>
      <c r="V106" s="310"/>
      <c r="W106" s="311">
        <v>1</v>
      </c>
      <c r="X106" s="311">
        <v>1</v>
      </c>
      <c r="Y106" s="310" t="s">
        <v>826</v>
      </c>
      <c r="Z106" s="310" t="s">
        <v>827</v>
      </c>
      <c r="AA106" s="310"/>
      <c r="AB106" s="312">
        <v>0.29318</v>
      </c>
      <c r="AC106" s="313">
        <v>55</v>
      </c>
      <c r="AD106" s="312"/>
      <c r="AE106" s="310"/>
      <c r="AF106" s="310"/>
      <c r="AG106" s="311"/>
      <c r="AH106" s="311"/>
      <c r="AI106" s="312"/>
      <c r="AJ106" s="310"/>
      <c r="AK106" s="314"/>
      <c r="AL106" s="314"/>
      <c r="AM106" s="314">
        <v>481963</v>
      </c>
      <c r="AN106" s="314">
        <v>237735</v>
      </c>
      <c r="AO106" s="314">
        <v>141255</v>
      </c>
      <c r="AP106" s="314">
        <v>69676</v>
      </c>
      <c r="AQ106" s="314"/>
      <c r="AR106" s="314"/>
      <c r="AS106" s="314"/>
      <c r="AT106" s="314"/>
      <c r="AU106" s="314"/>
      <c r="AV106" s="314"/>
      <c r="AW106" s="314"/>
      <c r="AX106" s="314"/>
      <c r="AY106" s="315"/>
      <c r="AZ106" s="315"/>
      <c r="BA106" s="315"/>
      <c r="BB106" s="315"/>
      <c r="BC106" s="315"/>
      <c r="BD106" s="315"/>
      <c r="BE106" s="315"/>
      <c r="BF106" s="315"/>
      <c r="BG106" s="315"/>
      <c r="BH106" s="315"/>
      <c r="BI106" s="315"/>
      <c r="BJ106" s="315"/>
      <c r="BK106" s="315"/>
      <c r="BL106" s="315"/>
      <c r="BM106" s="315"/>
      <c r="BN106" s="315"/>
      <c r="BO106" s="315"/>
      <c r="BP106" s="315"/>
      <c r="BQ106" s="315"/>
      <c r="BR106" s="315"/>
      <c r="BS106" s="315"/>
      <c r="BT106" s="315"/>
      <c r="BU106" s="315"/>
      <c r="BV106" s="315"/>
      <c r="BW106" s="311"/>
      <c r="BX106" s="311"/>
      <c r="BY106" s="311"/>
      <c r="BZ106" s="311"/>
      <c r="CA106" s="311"/>
      <c r="CB106" s="311"/>
      <c r="CC106" s="311"/>
      <c r="CD106" s="311"/>
      <c r="CE106" s="311"/>
      <c r="CF106" s="311"/>
      <c r="CG106" s="311"/>
      <c r="CH106" s="310">
        <v>481963</v>
      </c>
      <c r="CI106" s="310">
        <v>237735</v>
      </c>
      <c r="CJ106" s="310"/>
      <c r="CK106" s="310"/>
      <c r="CL106" s="310"/>
      <c r="CM106" s="310"/>
      <c r="CN106" s="310"/>
      <c r="CO106" s="310"/>
      <c r="CP106" s="310"/>
      <c r="CQ106" s="311" t="s">
        <v>744</v>
      </c>
      <c r="CR106" s="311" t="s">
        <v>742</v>
      </c>
      <c r="CS106" s="311" t="s">
        <v>742</v>
      </c>
      <c r="CT106" s="311"/>
      <c r="CU106" s="311"/>
      <c r="CV106" s="311"/>
      <c r="CW106" s="311"/>
      <c r="CX106" s="311"/>
      <c r="CY106" s="311"/>
      <c r="CZ106" s="311"/>
      <c r="DA106" s="311"/>
      <c r="DB106" s="311"/>
      <c r="DC106" s="311"/>
      <c r="DD106" s="311"/>
      <c r="DE106" s="316"/>
      <c r="DF106" s="314"/>
      <c r="DG106" s="314"/>
      <c r="DH106" s="314"/>
      <c r="DI106" s="314"/>
      <c r="DJ106" s="314"/>
      <c r="DK106" s="314">
        <v>0</v>
      </c>
      <c r="DL106" s="314">
        <v>0</v>
      </c>
      <c r="DM106" s="314">
        <v>0</v>
      </c>
      <c r="DN106" s="314">
        <v>0</v>
      </c>
      <c r="DO106" s="314">
        <v>0</v>
      </c>
      <c r="DP106" s="314">
        <v>0</v>
      </c>
      <c r="DQ106" s="314">
        <v>0</v>
      </c>
      <c r="DR106" s="314">
        <v>141255</v>
      </c>
      <c r="DS106" s="314">
        <v>0</v>
      </c>
      <c r="DT106" s="314">
        <v>0</v>
      </c>
      <c r="DU106" s="314">
        <v>0</v>
      </c>
      <c r="DV106" s="314">
        <v>0</v>
      </c>
      <c r="DW106" s="314">
        <v>141255</v>
      </c>
      <c r="DX106" s="314">
        <v>0</v>
      </c>
      <c r="DY106" s="314">
        <v>141255</v>
      </c>
      <c r="DZ106" s="314">
        <v>0</v>
      </c>
      <c r="EA106" s="314">
        <v>141255</v>
      </c>
      <c r="EB106" s="314">
        <v>0</v>
      </c>
      <c r="EC106" s="317">
        <v>0</v>
      </c>
      <c r="ED106" s="317">
        <v>0</v>
      </c>
      <c r="EE106" s="317">
        <v>0</v>
      </c>
      <c r="EF106" s="317">
        <v>0</v>
      </c>
      <c r="EG106" s="317">
        <v>0</v>
      </c>
      <c r="EH106" s="317">
        <v>0</v>
      </c>
      <c r="EI106" s="317">
        <v>0</v>
      </c>
      <c r="EJ106" s="317">
        <v>1</v>
      </c>
      <c r="EK106" s="317">
        <v>0</v>
      </c>
      <c r="EL106" s="317">
        <v>0</v>
      </c>
      <c r="EM106" s="317">
        <v>0</v>
      </c>
      <c r="EN106" s="317">
        <v>0</v>
      </c>
      <c r="EO106" s="317">
        <v>1</v>
      </c>
      <c r="EP106" s="317">
        <v>0</v>
      </c>
      <c r="EQ106" s="317">
        <v>1</v>
      </c>
      <c r="ER106" s="317">
        <v>0</v>
      </c>
      <c r="ES106" s="317">
        <v>1</v>
      </c>
      <c r="ET106" s="317">
        <v>0</v>
      </c>
    </row>
    <row r="107" spans="1:150" x14ac:dyDescent="0.25">
      <c r="A107" s="310">
        <v>8416</v>
      </c>
      <c r="B107" s="310">
        <v>2023</v>
      </c>
      <c r="C107" s="310" t="s">
        <v>10</v>
      </c>
      <c r="D107" s="310" t="s">
        <v>928</v>
      </c>
      <c r="E107" s="310">
        <v>59393</v>
      </c>
      <c r="F107" s="310" t="s">
        <v>759</v>
      </c>
      <c r="G107" s="310">
        <v>15473</v>
      </c>
      <c r="H107" s="310" t="s">
        <v>929</v>
      </c>
      <c r="I107" s="310">
        <v>59171</v>
      </c>
      <c r="J107" s="310" t="s">
        <v>748</v>
      </c>
      <c r="K107" s="310" t="s">
        <v>760</v>
      </c>
      <c r="L107" s="310" t="s">
        <v>761</v>
      </c>
      <c r="M107" s="310" t="s">
        <v>732</v>
      </c>
      <c r="N107" s="310" t="s">
        <v>733</v>
      </c>
      <c r="O107" s="310" t="s">
        <v>734</v>
      </c>
      <c r="P107" s="310"/>
      <c r="Q107" s="310" t="s">
        <v>735</v>
      </c>
      <c r="R107" s="310" t="s">
        <v>772</v>
      </c>
      <c r="S107" s="310" t="s">
        <v>773</v>
      </c>
      <c r="T107" s="310">
        <v>35.049166999999997</v>
      </c>
      <c r="U107" s="310">
        <v>-106.53</v>
      </c>
      <c r="V107" s="310"/>
      <c r="W107" s="311">
        <v>1</v>
      </c>
      <c r="X107" s="311">
        <v>1</v>
      </c>
      <c r="Y107" s="310" t="s">
        <v>826</v>
      </c>
      <c r="Z107" s="310" t="s">
        <v>827</v>
      </c>
      <c r="AA107" s="310"/>
      <c r="AB107" s="312"/>
      <c r="AC107" s="313">
        <v>2</v>
      </c>
      <c r="AD107" s="312"/>
      <c r="AE107" s="310"/>
      <c r="AF107" s="310"/>
      <c r="AG107" s="311"/>
      <c r="AH107" s="311"/>
      <c r="AI107" s="312"/>
      <c r="AJ107" s="310"/>
      <c r="AK107" s="314"/>
      <c r="AL107" s="314"/>
      <c r="AM107" s="314"/>
      <c r="AN107" s="314"/>
      <c r="AO107" s="314"/>
      <c r="AP107" s="314"/>
      <c r="AQ107" s="314"/>
      <c r="AR107" s="314"/>
      <c r="AS107" s="314"/>
      <c r="AT107" s="314"/>
      <c r="AU107" s="314"/>
      <c r="AV107" s="314"/>
      <c r="AW107" s="314"/>
      <c r="AX107" s="314"/>
      <c r="AY107" s="315"/>
      <c r="AZ107" s="315"/>
      <c r="BA107" s="315"/>
      <c r="BB107" s="315"/>
      <c r="BC107" s="315"/>
      <c r="BD107" s="315"/>
      <c r="BE107" s="315"/>
      <c r="BF107" s="315"/>
      <c r="BG107" s="315"/>
      <c r="BH107" s="315"/>
      <c r="BI107" s="315"/>
      <c r="BJ107" s="315"/>
      <c r="BK107" s="315"/>
      <c r="BL107" s="315"/>
      <c r="BM107" s="315"/>
      <c r="BN107" s="315"/>
      <c r="BO107" s="315"/>
      <c r="BP107" s="315"/>
      <c r="BQ107" s="315"/>
      <c r="BR107" s="315"/>
      <c r="BS107" s="315"/>
      <c r="BT107" s="315"/>
      <c r="BU107" s="315"/>
      <c r="BV107" s="315"/>
      <c r="BW107" s="311"/>
      <c r="BX107" s="311"/>
      <c r="BY107" s="311"/>
      <c r="BZ107" s="311"/>
      <c r="CA107" s="311"/>
      <c r="CB107" s="311"/>
      <c r="CC107" s="311"/>
      <c r="CD107" s="311"/>
      <c r="CE107" s="311"/>
      <c r="CF107" s="311"/>
      <c r="CG107" s="311"/>
      <c r="CH107" s="310"/>
      <c r="CI107" s="310"/>
      <c r="CJ107" s="310"/>
      <c r="CK107" s="310"/>
      <c r="CL107" s="310"/>
      <c r="CM107" s="310"/>
      <c r="CN107" s="310"/>
      <c r="CO107" s="310"/>
      <c r="CP107" s="310"/>
      <c r="CQ107" s="311" t="s">
        <v>744</v>
      </c>
      <c r="CR107" s="311"/>
      <c r="CS107" s="311"/>
      <c r="CT107" s="311"/>
      <c r="CU107" s="311"/>
      <c r="CV107" s="311"/>
      <c r="CW107" s="311"/>
      <c r="CX107" s="311"/>
      <c r="CY107" s="311"/>
      <c r="CZ107" s="311"/>
      <c r="DA107" s="311"/>
      <c r="DB107" s="311"/>
      <c r="DC107" s="311"/>
      <c r="DD107" s="311"/>
      <c r="DE107" s="316"/>
      <c r="DF107" s="314"/>
      <c r="DG107" s="314"/>
      <c r="DH107" s="314"/>
      <c r="DI107" s="314"/>
      <c r="DJ107" s="314"/>
      <c r="DK107" s="314"/>
      <c r="DL107" s="314"/>
      <c r="DM107" s="314"/>
      <c r="DN107" s="314"/>
      <c r="DO107" s="314"/>
      <c r="DP107" s="314"/>
      <c r="DQ107" s="314"/>
      <c r="DR107" s="314"/>
      <c r="DS107" s="314"/>
      <c r="DT107" s="314"/>
      <c r="DU107" s="314"/>
      <c r="DV107" s="314"/>
      <c r="DW107" s="314"/>
      <c r="DX107" s="314"/>
      <c r="DY107" s="314"/>
      <c r="DZ107" s="314"/>
      <c r="EA107" s="314"/>
      <c r="EB107" s="314"/>
      <c r="EC107" s="317"/>
      <c r="ED107" s="317"/>
      <c r="EE107" s="317"/>
      <c r="EF107" s="317"/>
      <c r="EG107" s="317"/>
      <c r="EH107" s="317"/>
      <c r="EI107" s="317"/>
      <c r="EJ107" s="317"/>
      <c r="EK107" s="317"/>
      <c r="EL107" s="317"/>
      <c r="EM107" s="317"/>
      <c r="EN107" s="317"/>
      <c r="EO107" s="317"/>
      <c r="EP107" s="317"/>
      <c r="EQ107" s="317"/>
      <c r="ER107" s="317"/>
      <c r="ES107" s="317"/>
      <c r="ET107" s="317"/>
    </row>
    <row r="108" spans="1:150" x14ac:dyDescent="0.25">
      <c r="A108" s="310">
        <v>8417</v>
      </c>
      <c r="B108" s="310">
        <v>2023</v>
      </c>
      <c r="C108" s="310" t="s">
        <v>10</v>
      </c>
      <c r="D108" s="310" t="s">
        <v>930</v>
      </c>
      <c r="E108" s="310">
        <v>61556</v>
      </c>
      <c r="F108" s="310" t="s">
        <v>759</v>
      </c>
      <c r="G108" s="310">
        <v>15473</v>
      </c>
      <c r="H108" s="310" t="s">
        <v>873</v>
      </c>
      <c r="I108" s="310">
        <v>61156</v>
      </c>
      <c r="J108" s="310" t="s">
        <v>748</v>
      </c>
      <c r="K108" s="310" t="s">
        <v>760</v>
      </c>
      <c r="L108" s="310" t="s">
        <v>761</v>
      </c>
      <c r="M108" s="310" t="s">
        <v>732</v>
      </c>
      <c r="N108" s="310" t="s">
        <v>733</v>
      </c>
      <c r="O108" s="310" t="s">
        <v>734</v>
      </c>
      <c r="P108" s="310"/>
      <c r="Q108" s="310" t="s">
        <v>735</v>
      </c>
      <c r="R108" s="310" t="s">
        <v>786</v>
      </c>
      <c r="S108" s="310" t="s">
        <v>787</v>
      </c>
      <c r="T108" s="310">
        <v>34.831000000000003</v>
      </c>
      <c r="U108" s="310">
        <v>-106.762</v>
      </c>
      <c r="V108" s="310"/>
      <c r="W108" s="311">
        <v>1</v>
      </c>
      <c r="X108" s="311">
        <v>1</v>
      </c>
      <c r="Y108" s="310" t="s">
        <v>826</v>
      </c>
      <c r="Z108" s="310" t="s">
        <v>827</v>
      </c>
      <c r="AA108" s="310"/>
      <c r="AB108" s="312">
        <v>0.29637000000000002</v>
      </c>
      <c r="AC108" s="313">
        <v>10</v>
      </c>
      <c r="AD108" s="312"/>
      <c r="AE108" s="310"/>
      <c r="AF108" s="310"/>
      <c r="AG108" s="311"/>
      <c r="AH108" s="311"/>
      <c r="AI108" s="312"/>
      <c r="AJ108" s="310"/>
      <c r="AK108" s="314"/>
      <c r="AL108" s="314"/>
      <c r="AM108" s="314">
        <v>88583</v>
      </c>
      <c r="AN108" s="314">
        <v>43490</v>
      </c>
      <c r="AO108" s="314">
        <v>25962</v>
      </c>
      <c r="AP108" s="314">
        <v>12746</v>
      </c>
      <c r="AQ108" s="314"/>
      <c r="AR108" s="314"/>
      <c r="AS108" s="314"/>
      <c r="AT108" s="314"/>
      <c r="AU108" s="314"/>
      <c r="AV108" s="314"/>
      <c r="AW108" s="314"/>
      <c r="AX108" s="314"/>
      <c r="AY108" s="315"/>
      <c r="AZ108" s="315"/>
      <c r="BA108" s="315"/>
      <c r="BB108" s="315"/>
      <c r="BC108" s="315"/>
      <c r="BD108" s="315"/>
      <c r="BE108" s="315"/>
      <c r="BF108" s="315"/>
      <c r="BG108" s="315"/>
      <c r="BH108" s="315"/>
      <c r="BI108" s="315"/>
      <c r="BJ108" s="315"/>
      <c r="BK108" s="315"/>
      <c r="BL108" s="315"/>
      <c r="BM108" s="315"/>
      <c r="BN108" s="315"/>
      <c r="BO108" s="315"/>
      <c r="BP108" s="315"/>
      <c r="BQ108" s="315"/>
      <c r="BR108" s="315"/>
      <c r="BS108" s="315"/>
      <c r="BT108" s="315"/>
      <c r="BU108" s="315"/>
      <c r="BV108" s="315"/>
      <c r="BW108" s="311"/>
      <c r="BX108" s="311"/>
      <c r="BY108" s="311"/>
      <c r="BZ108" s="311"/>
      <c r="CA108" s="311"/>
      <c r="CB108" s="311"/>
      <c r="CC108" s="311"/>
      <c r="CD108" s="311"/>
      <c r="CE108" s="311"/>
      <c r="CF108" s="311"/>
      <c r="CG108" s="311"/>
      <c r="CH108" s="310">
        <v>88583</v>
      </c>
      <c r="CI108" s="310">
        <v>43490</v>
      </c>
      <c r="CJ108" s="310"/>
      <c r="CK108" s="310"/>
      <c r="CL108" s="310"/>
      <c r="CM108" s="310"/>
      <c r="CN108" s="310"/>
      <c r="CO108" s="310"/>
      <c r="CP108" s="310"/>
      <c r="CQ108" s="311" t="s">
        <v>744</v>
      </c>
      <c r="CR108" s="311" t="s">
        <v>742</v>
      </c>
      <c r="CS108" s="311" t="s">
        <v>742</v>
      </c>
      <c r="CT108" s="311"/>
      <c r="CU108" s="311"/>
      <c r="CV108" s="311"/>
      <c r="CW108" s="311"/>
      <c r="CX108" s="311"/>
      <c r="CY108" s="311"/>
      <c r="CZ108" s="311"/>
      <c r="DA108" s="311"/>
      <c r="DB108" s="311"/>
      <c r="DC108" s="311"/>
      <c r="DD108" s="311"/>
      <c r="DE108" s="316"/>
      <c r="DF108" s="314"/>
      <c r="DG108" s="314"/>
      <c r="DH108" s="314"/>
      <c r="DI108" s="314"/>
      <c r="DJ108" s="314"/>
      <c r="DK108" s="314">
        <v>0</v>
      </c>
      <c r="DL108" s="314">
        <v>0</v>
      </c>
      <c r="DM108" s="314">
        <v>0</v>
      </c>
      <c r="DN108" s="314">
        <v>0</v>
      </c>
      <c r="DO108" s="314">
        <v>0</v>
      </c>
      <c r="DP108" s="314">
        <v>0</v>
      </c>
      <c r="DQ108" s="314">
        <v>0</v>
      </c>
      <c r="DR108" s="314">
        <v>25962</v>
      </c>
      <c r="DS108" s="314">
        <v>0</v>
      </c>
      <c r="DT108" s="314">
        <v>0</v>
      </c>
      <c r="DU108" s="314">
        <v>0</v>
      </c>
      <c r="DV108" s="314">
        <v>0</v>
      </c>
      <c r="DW108" s="314">
        <v>25962</v>
      </c>
      <c r="DX108" s="314">
        <v>0</v>
      </c>
      <c r="DY108" s="314">
        <v>25962</v>
      </c>
      <c r="DZ108" s="314">
        <v>0</v>
      </c>
      <c r="EA108" s="314">
        <v>25962</v>
      </c>
      <c r="EB108" s="314">
        <v>0</v>
      </c>
      <c r="EC108" s="317">
        <v>0</v>
      </c>
      <c r="ED108" s="317">
        <v>0</v>
      </c>
      <c r="EE108" s="317">
        <v>0</v>
      </c>
      <c r="EF108" s="317">
        <v>0</v>
      </c>
      <c r="EG108" s="317">
        <v>0</v>
      </c>
      <c r="EH108" s="317">
        <v>0</v>
      </c>
      <c r="EI108" s="317">
        <v>0</v>
      </c>
      <c r="EJ108" s="317">
        <v>1</v>
      </c>
      <c r="EK108" s="317">
        <v>0</v>
      </c>
      <c r="EL108" s="317">
        <v>0</v>
      </c>
      <c r="EM108" s="317">
        <v>0</v>
      </c>
      <c r="EN108" s="317">
        <v>0</v>
      </c>
      <c r="EO108" s="317">
        <v>1</v>
      </c>
      <c r="EP108" s="317">
        <v>0</v>
      </c>
      <c r="EQ108" s="317">
        <v>1</v>
      </c>
      <c r="ER108" s="317">
        <v>0</v>
      </c>
      <c r="ES108" s="317">
        <v>1</v>
      </c>
      <c r="ET108" s="317">
        <v>0</v>
      </c>
    </row>
    <row r="109" spans="1:150" x14ac:dyDescent="0.25">
      <c r="A109" s="310">
        <v>8418</v>
      </c>
      <c r="B109" s="310">
        <v>2023</v>
      </c>
      <c r="C109" s="310" t="s">
        <v>10</v>
      </c>
      <c r="D109" s="310" t="s">
        <v>931</v>
      </c>
      <c r="E109" s="310">
        <v>61557</v>
      </c>
      <c r="F109" s="310" t="s">
        <v>759</v>
      </c>
      <c r="G109" s="310">
        <v>15473</v>
      </c>
      <c r="H109" s="310" t="s">
        <v>873</v>
      </c>
      <c r="I109" s="310">
        <v>61156</v>
      </c>
      <c r="J109" s="310" t="s">
        <v>748</v>
      </c>
      <c r="K109" s="310" t="s">
        <v>760</v>
      </c>
      <c r="L109" s="310" t="s">
        <v>761</v>
      </c>
      <c r="M109" s="310" t="s">
        <v>732</v>
      </c>
      <c r="N109" s="310" t="s">
        <v>733</v>
      </c>
      <c r="O109" s="310" t="s">
        <v>734</v>
      </c>
      <c r="P109" s="310"/>
      <c r="Q109" s="310" t="s">
        <v>735</v>
      </c>
      <c r="R109" s="310" t="s">
        <v>772</v>
      </c>
      <c r="S109" s="310" t="s">
        <v>773</v>
      </c>
      <c r="T109" s="310">
        <v>35.08</v>
      </c>
      <c r="U109" s="310">
        <v>-106.86499999999999</v>
      </c>
      <c r="V109" s="310"/>
      <c r="W109" s="311">
        <v>1</v>
      </c>
      <c r="X109" s="311">
        <v>1</v>
      </c>
      <c r="Y109" s="310" t="s">
        <v>826</v>
      </c>
      <c r="Z109" s="310" t="s">
        <v>827</v>
      </c>
      <c r="AA109" s="310"/>
      <c r="AB109" s="312">
        <v>0.30889</v>
      </c>
      <c r="AC109" s="313">
        <v>10</v>
      </c>
      <c r="AD109" s="312"/>
      <c r="AE109" s="310"/>
      <c r="AF109" s="310"/>
      <c r="AG109" s="311"/>
      <c r="AH109" s="311"/>
      <c r="AI109" s="312"/>
      <c r="AJ109" s="310"/>
      <c r="AK109" s="314"/>
      <c r="AL109" s="314"/>
      <c r="AM109" s="314">
        <v>92325</v>
      </c>
      <c r="AN109" s="314">
        <v>47192</v>
      </c>
      <c r="AO109" s="314">
        <v>27059</v>
      </c>
      <c r="AP109" s="314">
        <v>13831</v>
      </c>
      <c r="AQ109" s="314"/>
      <c r="AR109" s="314"/>
      <c r="AS109" s="314"/>
      <c r="AT109" s="314"/>
      <c r="AU109" s="314"/>
      <c r="AV109" s="314"/>
      <c r="AW109" s="314"/>
      <c r="AX109" s="314"/>
      <c r="AY109" s="315"/>
      <c r="AZ109" s="315"/>
      <c r="BA109" s="315"/>
      <c r="BB109" s="315"/>
      <c r="BC109" s="315"/>
      <c r="BD109" s="315"/>
      <c r="BE109" s="315"/>
      <c r="BF109" s="315"/>
      <c r="BG109" s="315"/>
      <c r="BH109" s="315"/>
      <c r="BI109" s="315"/>
      <c r="BJ109" s="315"/>
      <c r="BK109" s="315"/>
      <c r="BL109" s="315"/>
      <c r="BM109" s="315"/>
      <c r="BN109" s="315"/>
      <c r="BO109" s="315"/>
      <c r="BP109" s="315"/>
      <c r="BQ109" s="315"/>
      <c r="BR109" s="315"/>
      <c r="BS109" s="315"/>
      <c r="BT109" s="315"/>
      <c r="BU109" s="315"/>
      <c r="BV109" s="315"/>
      <c r="BW109" s="311"/>
      <c r="BX109" s="311"/>
      <c r="BY109" s="311"/>
      <c r="BZ109" s="311"/>
      <c r="CA109" s="311"/>
      <c r="CB109" s="311"/>
      <c r="CC109" s="311"/>
      <c r="CD109" s="311"/>
      <c r="CE109" s="311"/>
      <c r="CF109" s="311"/>
      <c r="CG109" s="311"/>
      <c r="CH109" s="310">
        <v>92325</v>
      </c>
      <c r="CI109" s="310">
        <v>47192</v>
      </c>
      <c r="CJ109" s="310"/>
      <c r="CK109" s="310"/>
      <c r="CL109" s="310"/>
      <c r="CM109" s="310"/>
      <c r="CN109" s="310"/>
      <c r="CO109" s="310"/>
      <c r="CP109" s="310"/>
      <c r="CQ109" s="311" t="s">
        <v>744</v>
      </c>
      <c r="CR109" s="311" t="s">
        <v>742</v>
      </c>
      <c r="CS109" s="311" t="s">
        <v>742</v>
      </c>
      <c r="CT109" s="311"/>
      <c r="CU109" s="311"/>
      <c r="CV109" s="311"/>
      <c r="CW109" s="311"/>
      <c r="CX109" s="311"/>
      <c r="CY109" s="311"/>
      <c r="CZ109" s="311"/>
      <c r="DA109" s="311"/>
      <c r="DB109" s="311"/>
      <c r="DC109" s="311"/>
      <c r="DD109" s="311"/>
      <c r="DE109" s="316"/>
      <c r="DF109" s="314"/>
      <c r="DG109" s="314"/>
      <c r="DH109" s="314"/>
      <c r="DI109" s="314"/>
      <c r="DJ109" s="314"/>
      <c r="DK109" s="314">
        <v>0</v>
      </c>
      <c r="DL109" s="314">
        <v>0</v>
      </c>
      <c r="DM109" s="314">
        <v>0</v>
      </c>
      <c r="DN109" s="314">
        <v>0</v>
      </c>
      <c r="DO109" s="314">
        <v>0</v>
      </c>
      <c r="DP109" s="314">
        <v>0</v>
      </c>
      <c r="DQ109" s="314">
        <v>0</v>
      </c>
      <c r="DR109" s="314">
        <v>27059</v>
      </c>
      <c r="DS109" s="314">
        <v>0</v>
      </c>
      <c r="DT109" s="314">
        <v>0</v>
      </c>
      <c r="DU109" s="314">
        <v>0</v>
      </c>
      <c r="DV109" s="314">
        <v>0</v>
      </c>
      <c r="DW109" s="314">
        <v>27059</v>
      </c>
      <c r="DX109" s="314">
        <v>0</v>
      </c>
      <c r="DY109" s="314">
        <v>27059</v>
      </c>
      <c r="DZ109" s="314">
        <v>0</v>
      </c>
      <c r="EA109" s="314">
        <v>27059</v>
      </c>
      <c r="EB109" s="314">
        <v>0</v>
      </c>
      <c r="EC109" s="317">
        <v>0</v>
      </c>
      <c r="ED109" s="317">
        <v>0</v>
      </c>
      <c r="EE109" s="317">
        <v>0</v>
      </c>
      <c r="EF109" s="317">
        <v>0</v>
      </c>
      <c r="EG109" s="317">
        <v>0</v>
      </c>
      <c r="EH109" s="317">
        <v>0</v>
      </c>
      <c r="EI109" s="317">
        <v>0</v>
      </c>
      <c r="EJ109" s="317">
        <v>1</v>
      </c>
      <c r="EK109" s="317">
        <v>0</v>
      </c>
      <c r="EL109" s="317">
        <v>0</v>
      </c>
      <c r="EM109" s="317">
        <v>0</v>
      </c>
      <c r="EN109" s="317">
        <v>0</v>
      </c>
      <c r="EO109" s="317">
        <v>1</v>
      </c>
      <c r="EP109" s="317">
        <v>0</v>
      </c>
      <c r="EQ109" s="317">
        <v>1</v>
      </c>
      <c r="ER109" s="317">
        <v>0</v>
      </c>
      <c r="ES109" s="317">
        <v>1</v>
      </c>
      <c r="ET109" s="317">
        <v>0</v>
      </c>
    </row>
    <row r="110" spans="1:150" x14ac:dyDescent="0.25">
      <c r="A110" s="310">
        <v>8419</v>
      </c>
      <c r="B110" s="310">
        <v>2023</v>
      </c>
      <c r="C110" s="310" t="s">
        <v>10</v>
      </c>
      <c r="D110" s="310" t="s">
        <v>932</v>
      </c>
      <c r="E110" s="310">
        <v>61558</v>
      </c>
      <c r="F110" s="310" t="s">
        <v>759</v>
      </c>
      <c r="G110" s="310">
        <v>15473</v>
      </c>
      <c r="H110" s="310" t="s">
        <v>873</v>
      </c>
      <c r="I110" s="310">
        <v>61156</v>
      </c>
      <c r="J110" s="310" t="s">
        <v>748</v>
      </c>
      <c r="K110" s="310" t="s">
        <v>760</v>
      </c>
      <c r="L110" s="310" t="s">
        <v>761</v>
      </c>
      <c r="M110" s="310" t="s">
        <v>732</v>
      </c>
      <c r="N110" s="310" t="s">
        <v>733</v>
      </c>
      <c r="O110" s="310" t="s">
        <v>734</v>
      </c>
      <c r="P110" s="310"/>
      <c r="Q110" s="310" t="s">
        <v>735</v>
      </c>
      <c r="R110" s="310" t="s">
        <v>772</v>
      </c>
      <c r="S110" s="310" t="s">
        <v>773</v>
      </c>
      <c r="T110" s="310">
        <v>35.075000000000003</v>
      </c>
      <c r="U110" s="310">
        <v>-106.86499999999999</v>
      </c>
      <c r="V110" s="310"/>
      <c r="W110" s="311">
        <v>1</v>
      </c>
      <c r="X110" s="311">
        <v>1</v>
      </c>
      <c r="Y110" s="310" t="s">
        <v>826</v>
      </c>
      <c r="Z110" s="310" t="s">
        <v>827</v>
      </c>
      <c r="AA110" s="310"/>
      <c r="AB110" s="312">
        <v>0.30681999999999998</v>
      </c>
      <c r="AC110" s="313">
        <v>10</v>
      </c>
      <c r="AD110" s="312"/>
      <c r="AE110" s="310"/>
      <c r="AF110" s="310"/>
      <c r="AG110" s="311"/>
      <c r="AH110" s="311"/>
      <c r="AI110" s="312"/>
      <c r="AJ110" s="310"/>
      <c r="AK110" s="314"/>
      <c r="AL110" s="314"/>
      <c r="AM110" s="314">
        <v>91704</v>
      </c>
      <c r="AN110" s="314">
        <v>46741</v>
      </c>
      <c r="AO110" s="314">
        <v>26877</v>
      </c>
      <c r="AP110" s="314">
        <v>13699</v>
      </c>
      <c r="AQ110" s="314"/>
      <c r="AR110" s="314"/>
      <c r="AS110" s="314"/>
      <c r="AT110" s="314"/>
      <c r="AU110" s="314"/>
      <c r="AV110" s="314"/>
      <c r="AW110" s="314"/>
      <c r="AX110" s="314"/>
      <c r="AY110" s="315"/>
      <c r="AZ110" s="315"/>
      <c r="BA110" s="315"/>
      <c r="BB110" s="315"/>
      <c r="BC110" s="315"/>
      <c r="BD110" s="315"/>
      <c r="BE110" s="315"/>
      <c r="BF110" s="315"/>
      <c r="BG110" s="315"/>
      <c r="BH110" s="315"/>
      <c r="BI110" s="315"/>
      <c r="BJ110" s="315"/>
      <c r="BK110" s="315"/>
      <c r="BL110" s="315"/>
      <c r="BM110" s="315"/>
      <c r="BN110" s="315"/>
      <c r="BO110" s="315"/>
      <c r="BP110" s="315"/>
      <c r="BQ110" s="315"/>
      <c r="BR110" s="315"/>
      <c r="BS110" s="315"/>
      <c r="BT110" s="315"/>
      <c r="BU110" s="315"/>
      <c r="BV110" s="315"/>
      <c r="BW110" s="311"/>
      <c r="BX110" s="311"/>
      <c r="BY110" s="311"/>
      <c r="BZ110" s="311"/>
      <c r="CA110" s="311"/>
      <c r="CB110" s="311"/>
      <c r="CC110" s="311"/>
      <c r="CD110" s="311"/>
      <c r="CE110" s="311"/>
      <c r="CF110" s="311"/>
      <c r="CG110" s="311"/>
      <c r="CH110" s="310">
        <v>91704</v>
      </c>
      <c r="CI110" s="310">
        <v>46741</v>
      </c>
      <c r="CJ110" s="310"/>
      <c r="CK110" s="310"/>
      <c r="CL110" s="310"/>
      <c r="CM110" s="310"/>
      <c r="CN110" s="310"/>
      <c r="CO110" s="310"/>
      <c r="CP110" s="310"/>
      <c r="CQ110" s="311" t="s">
        <v>744</v>
      </c>
      <c r="CR110" s="311" t="s">
        <v>742</v>
      </c>
      <c r="CS110" s="311" t="s">
        <v>742</v>
      </c>
      <c r="CT110" s="311"/>
      <c r="CU110" s="311"/>
      <c r="CV110" s="311"/>
      <c r="CW110" s="311"/>
      <c r="CX110" s="311"/>
      <c r="CY110" s="311"/>
      <c r="CZ110" s="311"/>
      <c r="DA110" s="311"/>
      <c r="DB110" s="311"/>
      <c r="DC110" s="311"/>
      <c r="DD110" s="311"/>
      <c r="DE110" s="316"/>
      <c r="DF110" s="314"/>
      <c r="DG110" s="314"/>
      <c r="DH110" s="314"/>
      <c r="DI110" s="314"/>
      <c r="DJ110" s="314"/>
      <c r="DK110" s="314">
        <v>0</v>
      </c>
      <c r="DL110" s="314">
        <v>0</v>
      </c>
      <c r="DM110" s="314">
        <v>0</v>
      </c>
      <c r="DN110" s="314">
        <v>0</v>
      </c>
      <c r="DO110" s="314">
        <v>0</v>
      </c>
      <c r="DP110" s="314">
        <v>0</v>
      </c>
      <c r="DQ110" s="314">
        <v>0</v>
      </c>
      <c r="DR110" s="314">
        <v>26877</v>
      </c>
      <c r="DS110" s="314">
        <v>0</v>
      </c>
      <c r="DT110" s="314">
        <v>0</v>
      </c>
      <c r="DU110" s="314">
        <v>0</v>
      </c>
      <c r="DV110" s="314">
        <v>0</v>
      </c>
      <c r="DW110" s="314">
        <v>26877</v>
      </c>
      <c r="DX110" s="314">
        <v>0</v>
      </c>
      <c r="DY110" s="314">
        <v>26877</v>
      </c>
      <c r="DZ110" s="314">
        <v>0</v>
      </c>
      <c r="EA110" s="314">
        <v>26877</v>
      </c>
      <c r="EB110" s="314">
        <v>0</v>
      </c>
      <c r="EC110" s="317">
        <v>0</v>
      </c>
      <c r="ED110" s="317">
        <v>0</v>
      </c>
      <c r="EE110" s="317">
        <v>0</v>
      </c>
      <c r="EF110" s="317">
        <v>0</v>
      </c>
      <c r="EG110" s="317">
        <v>0</v>
      </c>
      <c r="EH110" s="317">
        <v>0</v>
      </c>
      <c r="EI110" s="317">
        <v>0</v>
      </c>
      <c r="EJ110" s="317">
        <v>1</v>
      </c>
      <c r="EK110" s="317">
        <v>0</v>
      </c>
      <c r="EL110" s="317">
        <v>0</v>
      </c>
      <c r="EM110" s="317">
        <v>0</v>
      </c>
      <c r="EN110" s="317">
        <v>0</v>
      </c>
      <c r="EO110" s="317">
        <v>1</v>
      </c>
      <c r="EP110" s="317">
        <v>0</v>
      </c>
      <c r="EQ110" s="317">
        <v>1</v>
      </c>
      <c r="ER110" s="317">
        <v>0</v>
      </c>
      <c r="ES110" s="317">
        <v>1</v>
      </c>
      <c r="ET110" s="317">
        <v>0</v>
      </c>
    </row>
    <row r="111" spans="1:150" x14ac:dyDescent="0.25">
      <c r="A111" s="310">
        <v>8423</v>
      </c>
      <c r="B111" s="310">
        <v>2023</v>
      </c>
      <c r="C111" s="310" t="s">
        <v>10</v>
      </c>
      <c r="D111" s="310" t="s">
        <v>933</v>
      </c>
      <c r="E111" s="310">
        <v>58576</v>
      </c>
      <c r="F111" s="310" t="s">
        <v>746</v>
      </c>
      <c r="G111" s="310">
        <v>17718</v>
      </c>
      <c r="H111" s="310" t="s">
        <v>934</v>
      </c>
      <c r="I111" s="310">
        <v>60281</v>
      </c>
      <c r="J111" s="310" t="s">
        <v>748</v>
      </c>
      <c r="K111" s="310" t="s">
        <v>749</v>
      </c>
      <c r="L111" s="310" t="s">
        <v>750</v>
      </c>
      <c r="M111" s="310" t="s">
        <v>732</v>
      </c>
      <c r="N111" s="310" t="s">
        <v>752</v>
      </c>
      <c r="O111" s="310" t="s">
        <v>753</v>
      </c>
      <c r="P111" s="310"/>
      <c r="Q111" s="310" t="s">
        <v>735</v>
      </c>
      <c r="R111" s="310" t="s">
        <v>838</v>
      </c>
      <c r="S111" s="310" t="s">
        <v>839</v>
      </c>
      <c r="T111" s="310">
        <v>33.299999999999997</v>
      </c>
      <c r="U111" s="310">
        <v>-104.4</v>
      </c>
      <c r="V111" s="310"/>
      <c r="W111" s="311">
        <v>1</v>
      </c>
      <c r="X111" s="311">
        <v>1</v>
      </c>
      <c r="Y111" s="310" t="s">
        <v>826</v>
      </c>
      <c r="Z111" s="310" t="s">
        <v>827</v>
      </c>
      <c r="AA111" s="310"/>
      <c r="AB111" s="312">
        <v>0.23809</v>
      </c>
      <c r="AC111" s="313">
        <v>2.2999999999999998</v>
      </c>
      <c r="AD111" s="312"/>
      <c r="AE111" s="310"/>
      <c r="AF111" s="310"/>
      <c r="AG111" s="311"/>
      <c r="AH111" s="311"/>
      <c r="AI111" s="312"/>
      <c r="AJ111" s="310"/>
      <c r="AK111" s="314"/>
      <c r="AL111" s="314"/>
      <c r="AM111" s="314">
        <v>16367</v>
      </c>
      <c r="AN111" s="314">
        <v>7523</v>
      </c>
      <c r="AO111" s="314">
        <v>4797</v>
      </c>
      <c r="AP111" s="314">
        <v>2205</v>
      </c>
      <c r="AQ111" s="314"/>
      <c r="AR111" s="314"/>
      <c r="AS111" s="314"/>
      <c r="AT111" s="314"/>
      <c r="AU111" s="314"/>
      <c r="AV111" s="314"/>
      <c r="AW111" s="314"/>
      <c r="AX111" s="314"/>
      <c r="AY111" s="315"/>
      <c r="AZ111" s="315"/>
      <c r="BA111" s="315"/>
      <c r="BB111" s="315"/>
      <c r="BC111" s="315"/>
      <c r="BD111" s="315"/>
      <c r="BE111" s="315"/>
      <c r="BF111" s="315"/>
      <c r="BG111" s="315"/>
      <c r="BH111" s="315"/>
      <c r="BI111" s="315"/>
      <c r="BJ111" s="315"/>
      <c r="BK111" s="315"/>
      <c r="BL111" s="315"/>
      <c r="BM111" s="315"/>
      <c r="BN111" s="315"/>
      <c r="BO111" s="315"/>
      <c r="BP111" s="315"/>
      <c r="BQ111" s="315"/>
      <c r="BR111" s="315"/>
      <c r="BS111" s="315"/>
      <c r="BT111" s="315"/>
      <c r="BU111" s="315"/>
      <c r="BV111" s="315"/>
      <c r="BW111" s="311"/>
      <c r="BX111" s="311"/>
      <c r="BY111" s="311"/>
      <c r="BZ111" s="311"/>
      <c r="CA111" s="311"/>
      <c r="CB111" s="311"/>
      <c r="CC111" s="311"/>
      <c r="CD111" s="311"/>
      <c r="CE111" s="311"/>
      <c r="CF111" s="311"/>
      <c r="CG111" s="311"/>
      <c r="CH111" s="310">
        <v>16367</v>
      </c>
      <c r="CI111" s="310">
        <v>7523</v>
      </c>
      <c r="CJ111" s="310"/>
      <c r="CK111" s="310"/>
      <c r="CL111" s="310"/>
      <c r="CM111" s="310"/>
      <c r="CN111" s="310"/>
      <c r="CO111" s="310"/>
      <c r="CP111" s="310"/>
      <c r="CQ111" s="311" t="s">
        <v>744</v>
      </c>
      <c r="CR111" s="311" t="s">
        <v>742</v>
      </c>
      <c r="CS111" s="311" t="s">
        <v>742</v>
      </c>
      <c r="CT111" s="311"/>
      <c r="CU111" s="311"/>
      <c r="CV111" s="311"/>
      <c r="CW111" s="311"/>
      <c r="CX111" s="311"/>
      <c r="CY111" s="311"/>
      <c r="CZ111" s="311"/>
      <c r="DA111" s="311"/>
      <c r="DB111" s="311"/>
      <c r="DC111" s="311"/>
      <c r="DD111" s="311"/>
      <c r="DE111" s="316"/>
      <c r="DF111" s="314"/>
      <c r="DG111" s="314"/>
      <c r="DH111" s="314"/>
      <c r="DI111" s="314"/>
      <c r="DJ111" s="314"/>
      <c r="DK111" s="314">
        <v>0</v>
      </c>
      <c r="DL111" s="314">
        <v>0</v>
      </c>
      <c r="DM111" s="314">
        <v>0</v>
      </c>
      <c r="DN111" s="314">
        <v>0</v>
      </c>
      <c r="DO111" s="314">
        <v>0</v>
      </c>
      <c r="DP111" s="314">
        <v>0</v>
      </c>
      <c r="DQ111" s="314">
        <v>0</v>
      </c>
      <c r="DR111" s="314">
        <v>4797</v>
      </c>
      <c r="DS111" s="314">
        <v>0</v>
      </c>
      <c r="DT111" s="314">
        <v>0</v>
      </c>
      <c r="DU111" s="314">
        <v>0</v>
      </c>
      <c r="DV111" s="314">
        <v>0</v>
      </c>
      <c r="DW111" s="314">
        <v>4797</v>
      </c>
      <c r="DX111" s="314">
        <v>0</v>
      </c>
      <c r="DY111" s="314">
        <v>4797</v>
      </c>
      <c r="DZ111" s="314">
        <v>0</v>
      </c>
      <c r="EA111" s="314">
        <v>4797</v>
      </c>
      <c r="EB111" s="314">
        <v>0</v>
      </c>
      <c r="EC111" s="317">
        <v>0</v>
      </c>
      <c r="ED111" s="317">
        <v>0</v>
      </c>
      <c r="EE111" s="317">
        <v>0</v>
      </c>
      <c r="EF111" s="317">
        <v>0</v>
      </c>
      <c r="EG111" s="317">
        <v>0</v>
      </c>
      <c r="EH111" s="317">
        <v>0</v>
      </c>
      <c r="EI111" s="317">
        <v>0</v>
      </c>
      <c r="EJ111" s="317">
        <v>1</v>
      </c>
      <c r="EK111" s="317">
        <v>0</v>
      </c>
      <c r="EL111" s="317">
        <v>0</v>
      </c>
      <c r="EM111" s="317">
        <v>0</v>
      </c>
      <c r="EN111" s="317">
        <v>0</v>
      </c>
      <c r="EO111" s="317">
        <v>1</v>
      </c>
      <c r="EP111" s="317">
        <v>0</v>
      </c>
      <c r="EQ111" s="317">
        <v>1</v>
      </c>
      <c r="ER111" s="317">
        <v>0</v>
      </c>
      <c r="ES111" s="317">
        <v>1</v>
      </c>
      <c r="ET111" s="317">
        <v>0</v>
      </c>
    </row>
    <row r="112" spans="1:150" x14ac:dyDescent="0.25">
      <c r="A112" s="310">
        <v>8424</v>
      </c>
      <c r="B112" s="310">
        <v>2023</v>
      </c>
      <c r="C112" s="310" t="s">
        <v>10</v>
      </c>
      <c r="D112" s="310" t="s">
        <v>935</v>
      </c>
      <c r="E112" s="310">
        <v>60317</v>
      </c>
      <c r="F112" s="310" t="s">
        <v>759</v>
      </c>
      <c r="G112" s="310">
        <v>15473</v>
      </c>
      <c r="H112" s="310" t="s">
        <v>877</v>
      </c>
      <c r="I112" s="310">
        <v>56545</v>
      </c>
      <c r="J112" s="310" t="s">
        <v>748</v>
      </c>
      <c r="K112" s="310" t="s">
        <v>760</v>
      </c>
      <c r="L112" s="310" t="s">
        <v>761</v>
      </c>
      <c r="M112" s="310" t="s">
        <v>732</v>
      </c>
      <c r="N112" s="310" t="s">
        <v>733</v>
      </c>
      <c r="O112" s="310" t="s">
        <v>734</v>
      </c>
      <c r="P112" s="310"/>
      <c r="Q112" s="310" t="s">
        <v>735</v>
      </c>
      <c r="R112" s="310" t="s">
        <v>880</v>
      </c>
      <c r="S112" s="310" t="s">
        <v>881</v>
      </c>
      <c r="T112" s="310">
        <v>34.734141999999999</v>
      </c>
      <c r="U112" s="310">
        <v>-103.09222699999999</v>
      </c>
      <c r="V112" s="310"/>
      <c r="W112" s="311">
        <v>1</v>
      </c>
      <c r="X112" s="311">
        <v>1</v>
      </c>
      <c r="Y112" s="310" t="s">
        <v>840</v>
      </c>
      <c r="Z112" s="310" t="s">
        <v>841</v>
      </c>
      <c r="AA112" s="310"/>
      <c r="AB112" s="312">
        <v>0.43957000000000002</v>
      </c>
      <c r="AC112" s="313">
        <v>220.5</v>
      </c>
      <c r="AD112" s="312"/>
      <c r="AE112" s="310"/>
      <c r="AF112" s="310"/>
      <c r="AG112" s="311"/>
      <c r="AH112" s="311"/>
      <c r="AI112" s="312"/>
      <c r="AJ112" s="310"/>
      <c r="AK112" s="314"/>
      <c r="AL112" s="314"/>
      <c r="AM112" s="314">
        <v>2897038</v>
      </c>
      <c r="AN112" s="314">
        <v>1118402</v>
      </c>
      <c r="AO112" s="314">
        <v>849074</v>
      </c>
      <c r="AP112" s="314">
        <v>327785</v>
      </c>
      <c r="AQ112" s="314"/>
      <c r="AR112" s="314"/>
      <c r="AS112" s="314"/>
      <c r="AT112" s="314"/>
      <c r="AU112" s="314"/>
      <c r="AV112" s="314"/>
      <c r="AW112" s="314"/>
      <c r="AX112" s="314"/>
      <c r="AY112" s="315"/>
      <c r="AZ112" s="315"/>
      <c r="BA112" s="315"/>
      <c r="BB112" s="315"/>
      <c r="BC112" s="315"/>
      <c r="BD112" s="315"/>
      <c r="BE112" s="315"/>
      <c r="BF112" s="315"/>
      <c r="BG112" s="315"/>
      <c r="BH112" s="315"/>
      <c r="BI112" s="315"/>
      <c r="BJ112" s="315"/>
      <c r="BK112" s="315"/>
      <c r="BL112" s="315"/>
      <c r="BM112" s="315"/>
      <c r="BN112" s="315"/>
      <c r="BO112" s="315"/>
      <c r="BP112" s="315"/>
      <c r="BQ112" s="315"/>
      <c r="BR112" s="315"/>
      <c r="BS112" s="315"/>
      <c r="BT112" s="315"/>
      <c r="BU112" s="315"/>
      <c r="BV112" s="315"/>
      <c r="BW112" s="311"/>
      <c r="BX112" s="311"/>
      <c r="BY112" s="311"/>
      <c r="BZ112" s="311"/>
      <c r="CA112" s="311"/>
      <c r="CB112" s="311"/>
      <c r="CC112" s="311"/>
      <c r="CD112" s="311"/>
      <c r="CE112" s="311"/>
      <c r="CF112" s="311"/>
      <c r="CG112" s="311"/>
      <c r="CH112" s="310">
        <v>2897038</v>
      </c>
      <c r="CI112" s="310">
        <v>1118402</v>
      </c>
      <c r="CJ112" s="310"/>
      <c r="CK112" s="310"/>
      <c r="CL112" s="310"/>
      <c r="CM112" s="310"/>
      <c r="CN112" s="310"/>
      <c r="CO112" s="310"/>
      <c r="CP112" s="310"/>
      <c r="CQ112" s="311" t="s">
        <v>744</v>
      </c>
      <c r="CR112" s="311" t="s">
        <v>742</v>
      </c>
      <c r="CS112" s="311" t="s">
        <v>742</v>
      </c>
      <c r="CT112" s="311"/>
      <c r="CU112" s="311"/>
      <c r="CV112" s="311"/>
      <c r="CW112" s="311"/>
      <c r="CX112" s="311"/>
      <c r="CY112" s="311"/>
      <c r="CZ112" s="311"/>
      <c r="DA112" s="311"/>
      <c r="DB112" s="311"/>
      <c r="DC112" s="311"/>
      <c r="DD112" s="311"/>
      <c r="DE112" s="316"/>
      <c r="DF112" s="314"/>
      <c r="DG112" s="314"/>
      <c r="DH112" s="314"/>
      <c r="DI112" s="314"/>
      <c r="DJ112" s="314"/>
      <c r="DK112" s="314">
        <v>0</v>
      </c>
      <c r="DL112" s="314">
        <v>0</v>
      </c>
      <c r="DM112" s="314">
        <v>0</v>
      </c>
      <c r="DN112" s="314">
        <v>0</v>
      </c>
      <c r="DO112" s="314">
        <v>0</v>
      </c>
      <c r="DP112" s="314">
        <v>0</v>
      </c>
      <c r="DQ112" s="314">
        <v>849074</v>
      </c>
      <c r="DR112" s="314">
        <v>0</v>
      </c>
      <c r="DS112" s="314">
        <v>0</v>
      </c>
      <c r="DT112" s="314">
        <v>0</v>
      </c>
      <c r="DU112" s="314">
        <v>0</v>
      </c>
      <c r="DV112" s="314">
        <v>0</v>
      </c>
      <c r="DW112" s="314">
        <v>849074</v>
      </c>
      <c r="DX112" s="314">
        <v>0</v>
      </c>
      <c r="DY112" s="314">
        <v>849074</v>
      </c>
      <c r="DZ112" s="314">
        <v>0</v>
      </c>
      <c r="EA112" s="314">
        <v>849074</v>
      </c>
      <c r="EB112" s="314">
        <v>0</v>
      </c>
      <c r="EC112" s="317">
        <v>0</v>
      </c>
      <c r="ED112" s="317">
        <v>0</v>
      </c>
      <c r="EE112" s="317">
        <v>0</v>
      </c>
      <c r="EF112" s="317">
        <v>0</v>
      </c>
      <c r="EG112" s="317">
        <v>0</v>
      </c>
      <c r="EH112" s="317">
        <v>0</v>
      </c>
      <c r="EI112" s="317">
        <v>1</v>
      </c>
      <c r="EJ112" s="317">
        <v>0</v>
      </c>
      <c r="EK112" s="317">
        <v>0</v>
      </c>
      <c r="EL112" s="317">
        <v>0</v>
      </c>
      <c r="EM112" s="317">
        <v>0</v>
      </c>
      <c r="EN112" s="317">
        <v>0</v>
      </c>
      <c r="EO112" s="317">
        <v>1</v>
      </c>
      <c r="EP112" s="317">
        <v>0</v>
      </c>
      <c r="EQ112" s="317">
        <v>1</v>
      </c>
      <c r="ER112" s="317">
        <v>0</v>
      </c>
      <c r="ES112" s="317">
        <v>1</v>
      </c>
      <c r="ET112" s="317">
        <v>0</v>
      </c>
    </row>
    <row r="113" spans="1:150" x14ac:dyDescent="0.25">
      <c r="A113" s="310">
        <v>8425</v>
      </c>
      <c r="B113" s="310">
        <v>2023</v>
      </c>
      <c r="C113" s="310" t="s">
        <v>10</v>
      </c>
      <c r="D113" s="310" t="s">
        <v>936</v>
      </c>
      <c r="E113" s="310">
        <v>62995</v>
      </c>
      <c r="F113" s="310" t="s">
        <v>863</v>
      </c>
      <c r="G113" s="310">
        <v>4265</v>
      </c>
      <c r="H113" s="310" t="s">
        <v>864</v>
      </c>
      <c r="I113" s="310">
        <v>62842</v>
      </c>
      <c r="J113" s="310" t="s">
        <v>748</v>
      </c>
      <c r="K113" s="310" t="s">
        <v>760</v>
      </c>
      <c r="L113" s="310" t="s">
        <v>761</v>
      </c>
      <c r="M113" s="310" t="s">
        <v>732</v>
      </c>
      <c r="N113" s="310" t="s">
        <v>733</v>
      </c>
      <c r="O113" s="310" t="s">
        <v>734</v>
      </c>
      <c r="P113" s="310"/>
      <c r="Q113" s="310" t="s">
        <v>735</v>
      </c>
      <c r="R113" s="310" t="s">
        <v>865</v>
      </c>
      <c r="S113" s="310" t="s">
        <v>866</v>
      </c>
      <c r="T113" s="310">
        <v>35.14</v>
      </c>
      <c r="U113" s="310">
        <v>-107.821</v>
      </c>
      <c r="V113" s="310"/>
      <c r="W113" s="311">
        <v>1</v>
      </c>
      <c r="X113" s="311">
        <v>1</v>
      </c>
      <c r="Y113" s="310" t="s">
        <v>826</v>
      </c>
      <c r="Z113" s="310" t="s">
        <v>827</v>
      </c>
      <c r="AA113" s="310"/>
      <c r="AB113" s="312">
        <v>0.30845</v>
      </c>
      <c r="AC113" s="313">
        <v>4.5</v>
      </c>
      <c r="AD113" s="312"/>
      <c r="AE113" s="310"/>
      <c r="AF113" s="310"/>
      <c r="AG113" s="311"/>
      <c r="AH113" s="311"/>
      <c r="AI113" s="312"/>
      <c r="AJ113" s="310"/>
      <c r="AK113" s="314"/>
      <c r="AL113" s="314"/>
      <c r="AM113" s="314">
        <v>41486</v>
      </c>
      <c r="AN113" s="314">
        <v>20441</v>
      </c>
      <c r="AO113" s="314">
        <v>12159</v>
      </c>
      <c r="AP113" s="314">
        <v>5991</v>
      </c>
      <c r="AQ113" s="314"/>
      <c r="AR113" s="314"/>
      <c r="AS113" s="314"/>
      <c r="AT113" s="314"/>
      <c r="AU113" s="314"/>
      <c r="AV113" s="314"/>
      <c r="AW113" s="314"/>
      <c r="AX113" s="314"/>
      <c r="AY113" s="315"/>
      <c r="AZ113" s="315"/>
      <c r="BA113" s="315"/>
      <c r="BB113" s="315"/>
      <c r="BC113" s="315"/>
      <c r="BD113" s="315"/>
      <c r="BE113" s="315"/>
      <c r="BF113" s="315"/>
      <c r="BG113" s="315"/>
      <c r="BH113" s="315"/>
      <c r="BI113" s="315"/>
      <c r="BJ113" s="315"/>
      <c r="BK113" s="315"/>
      <c r="BL113" s="315"/>
      <c r="BM113" s="315"/>
      <c r="BN113" s="315"/>
      <c r="BO113" s="315"/>
      <c r="BP113" s="315"/>
      <c r="BQ113" s="315"/>
      <c r="BR113" s="315"/>
      <c r="BS113" s="315"/>
      <c r="BT113" s="315"/>
      <c r="BU113" s="315"/>
      <c r="BV113" s="315"/>
      <c r="BW113" s="311"/>
      <c r="BX113" s="311"/>
      <c r="BY113" s="311"/>
      <c r="BZ113" s="311"/>
      <c r="CA113" s="311"/>
      <c r="CB113" s="311"/>
      <c r="CC113" s="311"/>
      <c r="CD113" s="311"/>
      <c r="CE113" s="311"/>
      <c r="CF113" s="311"/>
      <c r="CG113" s="311"/>
      <c r="CH113" s="310">
        <v>41486</v>
      </c>
      <c r="CI113" s="310">
        <v>20441</v>
      </c>
      <c r="CJ113" s="310"/>
      <c r="CK113" s="310"/>
      <c r="CL113" s="310"/>
      <c r="CM113" s="310"/>
      <c r="CN113" s="310"/>
      <c r="CO113" s="310"/>
      <c r="CP113" s="310"/>
      <c r="CQ113" s="311" t="s">
        <v>744</v>
      </c>
      <c r="CR113" s="311" t="s">
        <v>742</v>
      </c>
      <c r="CS113" s="311" t="s">
        <v>742</v>
      </c>
      <c r="CT113" s="311"/>
      <c r="CU113" s="311"/>
      <c r="CV113" s="311"/>
      <c r="CW113" s="311"/>
      <c r="CX113" s="311"/>
      <c r="CY113" s="311"/>
      <c r="CZ113" s="311"/>
      <c r="DA113" s="311"/>
      <c r="DB113" s="311"/>
      <c r="DC113" s="311"/>
      <c r="DD113" s="311"/>
      <c r="DE113" s="316"/>
      <c r="DF113" s="314"/>
      <c r="DG113" s="314"/>
      <c r="DH113" s="314"/>
      <c r="DI113" s="314"/>
      <c r="DJ113" s="314"/>
      <c r="DK113" s="314">
        <v>0</v>
      </c>
      <c r="DL113" s="314">
        <v>0</v>
      </c>
      <c r="DM113" s="314">
        <v>0</v>
      </c>
      <c r="DN113" s="314">
        <v>0</v>
      </c>
      <c r="DO113" s="314">
        <v>0</v>
      </c>
      <c r="DP113" s="314">
        <v>0</v>
      </c>
      <c r="DQ113" s="314">
        <v>0</v>
      </c>
      <c r="DR113" s="314">
        <v>12159</v>
      </c>
      <c r="DS113" s="314">
        <v>0</v>
      </c>
      <c r="DT113" s="314">
        <v>0</v>
      </c>
      <c r="DU113" s="314">
        <v>0</v>
      </c>
      <c r="DV113" s="314">
        <v>0</v>
      </c>
      <c r="DW113" s="314">
        <v>12159</v>
      </c>
      <c r="DX113" s="314">
        <v>0</v>
      </c>
      <c r="DY113" s="314">
        <v>12159</v>
      </c>
      <c r="DZ113" s="314">
        <v>0</v>
      </c>
      <c r="EA113" s="314">
        <v>12159</v>
      </c>
      <c r="EB113" s="314">
        <v>0</v>
      </c>
      <c r="EC113" s="317">
        <v>0</v>
      </c>
      <c r="ED113" s="317">
        <v>0</v>
      </c>
      <c r="EE113" s="317">
        <v>0</v>
      </c>
      <c r="EF113" s="317">
        <v>0</v>
      </c>
      <c r="EG113" s="317">
        <v>0</v>
      </c>
      <c r="EH113" s="317">
        <v>0</v>
      </c>
      <c r="EI113" s="317">
        <v>0</v>
      </c>
      <c r="EJ113" s="317">
        <v>1</v>
      </c>
      <c r="EK113" s="317">
        <v>0</v>
      </c>
      <c r="EL113" s="317">
        <v>0</v>
      </c>
      <c r="EM113" s="317">
        <v>0</v>
      </c>
      <c r="EN113" s="317">
        <v>0</v>
      </c>
      <c r="EO113" s="317">
        <v>1</v>
      </c>
      <c r="EP113" s="317">
        <v>0</v>
      </c>
      <c r="EQ113" s="317">
        <v>1</v>
      </c>
      <c r="ER113" s="317">
        <v>0</v>
      </c>
      <c r="ES113" s="317">
        <v>1</v>
      </c>
      <c r="ET113" s="317">
        <v>0</v>
      </c>
    </row>
    <row r="114" spans="1:150" x14ac:dyDescent="0.25">
      <c r="A114" s="310">
        <v>8426</v>
      </c>
      <c r="B114" s="310">
        <v>2023</v>
      </c>
      <c r="C114" s="310" t="s">
        <v>10</v>
      </c>
      <c r="D114" s="310" t="s">
        <v>937</v>
      </c>
      <c r="E114" s="310">
        <v>57591</v>
      </c>
      <c r="F114" s="310" t="s">
        <v>758</v>
      </c>
      <c r="G114" s="310">
        <v>5701</v>
      </c>
      <c r="H114" s="310" t="s">
        <v>937</v>
      </c>
      <c r="I114" s="310">
        <v>56926</v>
      </c>
      <c r="J114" s="310" t="s">
        <v>748</v>
      </c>
      <c r="K114" s="310" t="s">
        <v>769</v>
      </c>
      <c r="L114" s="310" t="s">
        <v>770</v>
      </c>
      <c r="M114" s="310" t="s">
        <v>732</v>
      </c>
      <c r="N114" s="310" t="s">
        <v>733</v>
      </c>
      <c r="O114" s="310" t="s">
        <v>734</v>
      </c>
      <c r="P114" s="310"/>
      <c r="Q114" s="310" t="s">
        <v>735</v>
      </c>
      <c r="R114" s="310" t="s">
        <v>766</v>
      </c>
      <c r="S114" s="310" t="s">
        <v>767</v>
      </c>
      <c r="T114" s="310">
        <v>32.630000000000003</v>
      </c>
      <c r="U114" s="310">
        <v>-107.259722</v>
      </c>
      <c r="V114" s="310"/>
      <c r="W114" s="311">
        <v>1</v>
      </c>
      <c r="X114" s="311">
        <v>1</v>
      </c>
      <c r="Y114" s="310" t="s">
        <v>826</v>
      </c>
      <c r="Z114" s="310" t="s">
        <v>827</v>
      </c>
      <c r="AA114" s="310"/>
      <c r="AB114" s="312">
        <v>0.24292</v>
      </c>
      <c r="AC114" s="313">
        <v>5</v>
      </c>
      <c r="AD114" s="312"/>
      <c r="AE114" s="310"/>
      <c r="AF114" s="310"/>
      <c r="AG114" s="311"/>
      <c r="AH114" s="311"/>
      <c r="AI114" s="312"/>
      <c r="AJ114" s="310"/>
      <c r="AK114" s="314"/>
      <c r="AL114" s="314"/>
      <c r="AM114" s="314">
        <v>36302</v>
      </c>
      <c r="AN114" s="314">
        <v>16609</v>
      </c>
      <c r="AO114" s="314">
        <v>10640</v>
      </c>
      <c r="AP114" s="314">
        <v>4868</v>
      </c>
      <c r="AQ114" s="314"/>
      <c r="AR114" s="314"/>
      <c r="AS114" s="314"/>
      <c r="AT114" s="314"/>
      <c r="AU114" s="314"/>
      <c r="AV114" s="314"/>
      <c r="AW114" s="314"/>
      <c r="AX114" s="314"/>
      <c r="AY114" s="315"/>
      <c r="AZ114" s="315"/>
      <c r="BA114" s="315"/>
      <c r="BB114" s="315"/>
      <c r="BC114" s="315"/>
      <c r="BD114" s="315"/>
      <c r="BE114" s="315"/>
      <c r="BF114" s="315"/>
      <c r="BG114" s="315"/>
      <c r="BH114" s="315"/>
      <c r="BI114" s="315"/>
      <c r="BJ114" s="315"/>
      <c r="BK114" s="315"/>
      <c r="BL114" s="315"/>
      <c r="BM114" s="315"/>
      <c r="BN114" s="315"/>
      <c r="BO114" s="315"/>
      <c r="BP114" s="315"/>
      <c r="BQ114" s="315"/>
      <c r="BR114" s="315"/>
      <c r="BS114" s="315"/>
      <c r="BT114" s="315"/>
      <c r="BU114" s="315"/>
      <c r="BV114" s="315"/>
      <c r="BW114" s="311"/>
      <c r="BX114" s="311"/>
      <c r="BY114" s="311"/>
      <c r="BZ114" s="311"/>
      <c r="CA114" s="311"/>
      <c r="CB114" s="311"/>
      <c r="CC114" s="311"/>
      <c r="CD114" s="311"/>
      <c r="CE114" s="311"/>
      <c r="CF114" s="311"/>
      <c r="CG114" s="311"/>
      <c r="CH114" s="310">
        <v>36302</v>
      </c>
      <c r="CI114" s="310">
        <v>16609</v>
      </c>
      <c r="CJ114" s="310"/>
      <c r="CK114" s="310"/>
      <c r="CL114" s="310"/>
      <c r="CM114" s="310"/>
      <c r="CN114" s="310"/>
      <c r="CO114" s="310"/>
      <c r="CP114" s="310"/>
      <c r="CQ114" s="311" t="s">
        <v>744</v>
      </c>
      <c r="CR114" s="311" t="s">
        <v>742</v>
      </c>
      <c r="CS114" s="311" t="s">
        <v>742</v>
      </c>
      <c r="CT114" s="311"/>
      <c r="CU114" s="311"/>
      <c r="CV114" s="311"/>
      <c r="CW114" s="311"/>
      <c r="CX114" s="311"/>
      <c r="CY114" s="311"/>
      <c r="CZ114" s="311"/>
      <c r="DA114" s="311"/>
      <c r="DB114" s="311"/>
      <c r="DC114" s="311"/>
      <c r="DD114" s="311"/>
      <c r="DE114" s="316"/>
      <c r="DF114" s="314"/>
      <c r="DG114" s="314"/>
      <c r="DH114" s="314"/>
      <c r="DI114" s="314"/>
      <c r="DJ114" s="314"/>
      <c r="DK114" s="314">
        <v>0</v>
      </c>
      <c r="DL114" s="314">
        <v>0</v>
      </c>
      <c r="DM114" s="314">
        <v>0</v>
      </c>
      <c r="DN114" s="314">
        <v>0</v>
      </c>
      <c r="DO114" s="314">
        <v>0</v>
      </c>
      <c r="DP114" s="314">
        <v>0</v>
      </c>
      <c r="DQ114" s="314">
        <v>0</v>
      </c>
      <c r="DR114" s="314">
        <v>10640</v>
      </c>
      <c r="DS114" s="314">
        <v>0</v>
      </c>
      <c r="DT114" s="314">
        <v>0</v>
      </c>
      <c r="DU114" s="314">
        <v>0</v>
      </c>
      <c r="DV114" s="314">
        <v>0</v>
      </c>
      <c r="DW114" s="314">
        <v>10640</v>
      </c>
      <c r="DX114" s="314">
        <v>0</v>
      </c>
      <c r="DY114" s="314">
        <v>10640</v>
      </c>
      <c r="DZ114" s="314">
        <v>0</v>
      </c>
      <c r="EA114" s="314">
        <v>10640</v>
      </c>
      <c r="EB114" s="314">
        <v>0</v>
      </c>
      <c r="EC114" s="317">
        <v>0</v>
      </c>
      <c r="ED114" s="317">
        <v>0</v>
      </c>
      <c r="EE114" s="317">
        <v>0</v>
      </c>
      <c r="EF114" s="317">
        <v>0</v>
      </c>
      <c r="EG114" s="317">
        <v>0</v>
      </c>
      <c r="EH114" s="317">
        <v>0</v>
      </c>
      <c r="EI114" s="317">
        <v>0</v>
      </c>
      <c r="EJ114" s="317">
        <v>1</v>
      </c>
      <c r="EK114" s="317">
        <v>0</v>
      </c>
      <c r="EL114" s="317">
        <v>0</v>
      </c>
      <c r="EM114" s="317">
        <v>0</v>
      </c>
      <c r="EN114" s="317">
        <v>0</v>
      </c>
      <c r="EO114" s="317">
        <v>1</v>
      </c>
      <c r="EP114" s="317">
        <v>0</v>
      </c>
      <c r="EQ114" s="317">
        <v>1</v>
      </c>
      <c r="ER114" s="317">
        <v>0</v>
      </c>
      <c r="ES114" s="317">
        <v>1</v>
      </c>
      <c r="ET114" s="317">
        <v>0</v>
      </c>
    </row>
    <row r="115" spans="1:150" x14ac:dyDescent="0.25">
      <c r="A115" s="310">
        <v>8427</v>
      </c>
      <c r="B115" s="310">
        <v>2023</v>
      </c>
      <c r="C115" s="310" t="s">
        <v>10</v>
      </c>
      <c r="D115" s="310" t="s">
        <v>938</v>
      </c>
      <c r="E115" s="310">
        <v>66412</v>
      </c>
      <c r="F115" s="310" t="s">
        <v>746</v>
      </c>
      <c r="G115" s="310">
        <v>17718</v>
      </c>
      <c r="H115" s="310" t="s">
        <v>938</v>
      </c>
      <c r="I115" s="310">
        <v>65491</v>
      </c>
      <c r="J115" s="310" t="s">
        <v>748</v>
      </c>
      <c r="K115" s="310" t="s">
        <v>749</v>
      </c>
      <c r="L115" s="310" t="s">
        <v>750</v>
      </c>
      <c r="M115" s="310" t="s">
        <v>751</v>
      </c>
      <c r="N115" s="310" t="s">
        <v>752</v>
      </c>
      <c r="O115" s="310" t="s">
        <v>753</v>
      </c>
      <c r="P115" s="310"/>
      <c r="Q115" s="310" t="s">
        <v>735</v>
      </c>
      <c r="R115" s="310" t="s">
        <v>939</v>
      </c>
      <c r="S115" s="310" t="s">
        <v>940</v>
      </c>
      <c r="T115" s="310">
        <v>32.070735999999997</v>
      </c>
      <c r="U115" s="310">
        <v>-104.161647</v>
      </c>
      <c r="V115" s="310"/>
      <c r="W115" s="311">
        <v>1</v>
      </c>
      <c r="X115" s="311">
        <v>1</v>
      </c>
      <c r="Y115" s="310" t="s">
        <v>826</v>
      </c>
      <c r="Z115" s="310" t="s">
        <v>827</v>
      </c>
      <c r="AA115" s="310"/>
      <c r="AB115" s="312">
        <v>3.4509999999999999E-2</v>
      </c>
      <c r="AC115" s="313">
        <v>20</v>
      </c>
      <c r="AD115" s="312"/>
      <c r="AE115" s="310"/>
      <c r="AF115" s="310"/>
      <c r="AG115" s="311"/>
      <c r="AH115" s="311"/>
      <c r="AI115" s="312"/>
      <c r="AJ115" s="310"/>
      <c r="AK115" s="314"/>
      <c r="AL115" s="314"/>
      <c r="AM115" s="314">
        <v>20629</v>
      </c>
      <c r="AN115" s="314">
        <v>0</v>
      </c>
      <c r="AO115" s="314">
        <v>6046</v>
      </c>
      <c r="AP115" s="314">
        <v>0</v>
      </c>
      <c r="AQ115" s="314"/>
      <c r="AR115" s="314"/>
      <c r="AS115" s="314"/>
      <c r="AT115" s="314"/>
      <c r="AU115" s="314"/>
      <c r="AV115" s="314"/>
      <c r="AW115" s="314"/>
      <c r="AX115" s="314"/>
      <c r="AY115" s="315"/>
      <c r="AZ115" s="315"/>
      <c r="BA115" s="315"/>
      <c r="BB115" s="315"/>
      <c r="BC115" s="315"/>
      <c r="BD115" s="315"/>
      <c r="BE115" s="315"/>
      <c r="BF115" s="315"/>
      <c r="BG115" s="315"/>
      <c r="BH115" s="315"/>
      <c r="BI115" s="315"/>
      <c r="BJ115" s="315"/>
      <c r="BK115" s="315"/>
      <c r="BL115" s="315"/>
      <c r="BM115" s="315"/>
      <c r="BN115" s="315"/>
      <c r="BO115" s="315"/>
      <c r="BP115" s="315"/>
      <c r="BQ115" s="315"/>
      <c r="BR115" s="315"/>
      <c r="BS115" s="315"/>
      <c r="BT115" s="315"/>
      <c r="BU115" s="315"/>
      <c r="BV115" s="315"/>
      <c r="BW115" s="311"/>
      <c r="BX115" s="311"/>
      <c r="BY115" s="311"/>
      <c r="BZ115" s="311"/>
      <c r="CA115" s="311"/>
      <c r="CB115" s="311"/>
      <c r="CC115" s="311"/>
      <c r="CD115" s="311"/>
      <c r="CE115" s="311"/>
      <c r="CF115" s="311"/>
      <c r="CG115" s="311"/>
      <c r="CH115" s="310">
        <v>20629</v>
      </c>
      <c r="CI115" s="310">
        <v>0</v>
      </c>
      <c r="CJ115" s="310"/>
      <c r="CK115" s="310"/>
      <c r="CL115" s="310"/>
      <c r="CM115" s="310"/>
      <c r="CN115" s="310"/>
      <c r="CO115" s="310"/>
      <c r="CP115" s="310"/>
      <c r="CQ115" s="311" t="s">
        <v>744</v>
      </c>
      <c r="CR115" s="311" t="s">
        <v>742</v>
      </c>
      <c r="CS115" s="311" t="s">
        <v>742</v>
      </c>
      <c r="CT115" s="311"/>
      <c r="CU115" s="311"/>
      <c r="CV115" s="311"/>
      <c r="CW115" s="311"/>
      <c r="CX115" s="311"/>
      <c r="CY115" s="311"/>
      <c r="CZ115" s="311"/>
      <c r="DA115" s="311"/>
      <c r="DB115" s="311"/>
      <c r="DC115" s="311"/>
      <c r="DD115" s="311"/>
      <c r="DE115" s="316"/>
      <c r="DF115" s="314"/>
      <c r="DG115" s="314"/>
      <c r="DH115" s="314"/>
      <c r="DI115" s="314"/>
      <c r="DJ115" s="314"/>
      <c r="DK115" s="314">
        <v>0</v>
      </c>
      <c r="DL115" s="314">
        <v>0</v>
      </c>
      <c r="DM115" s="314">
        <v>0</v>
      </c>
      <c r="DN115" s="314">
        <v>0</v>
      </c>
      <c r="DO115" s="314">
        <v>0</v>
      </c>
      <c r="DP115" s="314">
        <v>0</v>
      </c>
      <c r="DQ115" s="314">
        <v>0</v>
      </c>
      <c r="DR115" s="314">
        <v>6046</v>
      </c>
      <c r="DS115" s="314">
        <v>0</v>
      </c>
      <c r="DT115" s="314">
        <v>0</v>
      </c>
      <c r="DU115" s="314">
        <v>0</v>
      </c>
      <c r="DV115" s="314">
        <v>0</v>
      </c>
      <c r="DW115" s="314">
        <v>6046</v>
      </c>
      <c r="DX115" s="314">
        <v>0</v>
      </c>
      <c r="DY115" s="314">
        <v>6046</v>
      </c>
      <c r="DZ115" s="314">
        <v>0</v>
      </c>
      <c r="EA115" s="314">
        <v>6046</v>
      </c>
      <c r="EB115" s="314">
        <v>0</v>
      </c>
      <c r="EC115" s="317">
        <v>0</v>
      </c>
      <c r="ED115" s="317">
        <v>0</v>
      </c>
      <c r="EE115" s="317">
        <v>0</v>
      </c>
      <c r="EF115" s="317">
        <v>0</v>
      </c>
      <c r="EG115" s="317">
        <v>0</v>
      </c>
      <c r="EH115" s="317">
        <v>0</v>
      </c>
      <c r="EI115" s="317">
        <v>0</v>
      </c>
      <c r="EJ115" s="317">
        <v>1</v>
      </c>
      <c r="EK115" s="317">
        <v>0</v>
      </c>
      <c r="EL115" s="317">
        <v>0</v>
      </c>
      <c r="EM115" s="317">
        <v>0</v>
      </c>
      <c r="EN115" s="317">
        <v>0</v>
      </c>
      <c r="EO115" s="317">
        <v>1</v>
      </c>
      <c r="EP115" s="317">
        <v>0</v>
      </c>
      <c r="EQ115" s="317">
        <v>1</v>
      </c>
      <c r="ER115" s="317">
        <v>0</v>
      </c>
      <c r="ES115" s="317">
        <v>1</v>
      </c>
      <c r="ET115" s="317">
        <v>0</v>
      </c>
    </row>
    <row r="116" spans="1:150" x14ac:dyDescent="0.25">
      <c r="A116" s="310">
        <v>8428</v>
      </c>
      <c r="B116" s="310">
        <v>2023</v>
      </c>
      <c r="C116" s="310" t="s">
        <v>10</v>
      </c>
      <c r="D116" s="310" t="s">
        <v>941</v>
      </c>
      <c r="E116" s="310">
        <v>56945</v>
      </c>
      <c r="F116" s="310" t="s">
        <v>781</v>
      </c>
      <c r="G116" s="310">
        <v>30151</v>
      </c>
      <c r="H116" s="310" t="s">
        <v>942</v>
      </c>
      <c r="I116" s="310">
        <v>64648</v>
      </c>
      <c r="J116" s="310" t="s">
        <v>748</v>
      </c>
      <c r="K116" s="310" t="s">
        <v>760</v>
      </c>
      <c r="L116" s="310" t="s">
        <v>761</v>
      </c>
      <c r="M116" s="310" t="s">
        <v>732</v>
      </c>
      <c r="N116" s="310" t="s">
        <v>733</v>
      </c>
      <c r="O116" s="310" t="s">
        <v>734</v>
      </c>
      <c r="P116" s="310"/>
      <c r="Q116" s="310" t="s">
        <v>735</v>
      </c>
      <c r="R116" s="310" t="s">
        <v>874</v>
      </c>
      <c r="S116" s="310" t="s">
        <v>875</v>
      </c>
      <c r="T116" s="310">
        <v>34.466667000000001</v>
      </c>
      <c r="U116" s="310">
        <v>-105.96250000000001</v>
      </c>
      <c r="V116" s="310"/>
      <c r="W116" s="311">
        <v>1</v>
      </c>
      <c r="X116" s="311">
        <v>1</v>
      </c>
      <c r="Y116" s="310" t="s">
        <v>840</v>
      </c>
      <c r="Z116" s="310" t="s">
        <v>841</v>
      </c>
      <c r="AA116" s="310"/>
      <c r="AB116" s="312">
        <v>0.3997</v>
      </c>
      <c r="AC116" s="313">
        <v>100</v>
      </c>
      <c r="AD116" s="312"/>
      <c r="AE116" s="310"/>
      <c r="AF116" s="310"/>
      <c r="AG116" s="311"/>
      <c r="AH116" s="311"/>
      <c r="AI116" s="312"/>
      <c r="AJ116" s="310"/>
      <c r="AK116" s="314"/>
      <c r="AL116" s="314"/>
      <c r="AM116" s="314">
        <v>1194676</v>
      </c>
      <c r="AN116" s="314">
        <v>389420</v>
      </c>
      <c r="AO116" s="314">
        <v>350139</v>
      </c>
      <c r="AP116" s="314">
        <v>114132</v>
      </c>
      <c r="AQ116" s="314"/>
      <c r="AR116" s="314"/>
      <c r="AS116" s="314"/>
      <c r="AT116" s="314"/>
      <c r="AU116" s="314"/>
      <c r="AV116" s="314"/>
      <c r="AW116" s="314"/>
      <c r="AX116" s="314"/>
      <c r="AY116" s="315"/>
      <c r="AZ116" s="315"/>
      <c r="BA116" s="315"/>
      <c r="BB116" s="315"/>
      <c r="BC116" s="315"/>
      <c r="BD116" s="315"/>
      <c r="BE116" s="315"/>
      <c r="BF116" s="315"/>
      <c r="BG116" s="315"/>
      <c r="BH116" s="315"/>
      <c r="BI116" s="315"/>
      <c r="BJ116" s="315"/>
      <c r="BK116" s="315"/>
      <c r="BL116" s="315"/>
      <c r="BM116" s="315"/>
      <c r="BN116" s="315"/>
      <c r="BO116" s="315"/>
      <c r="BP116" s="315"/>
      <c r="BQ116" s="315"/>
      <c r="BR116" s="315"/>
      <c r="BS116" s="315"/>
      <c r="BT116" s="315"/>
      <c r="BU116" s="315"/>
      <c r="BV116" s="315"/>
      <c r="BW116" s="311"/>
      <c r="BX116" s="311"/>
      <c r="BY116" s="311"/>
      <c r="BZ116" s="311"/>
      <c r="CA116" s="311"/>
      <c r="CB116" s="311"/>
      <c r="CC116" s="311"/>
      <c r="CD116" s="311"/>
      <c r="CE116" s="311"/>
      <c r="CF116" s="311"/>
      <c r="CG116" s="311"/>
      <c r="CH116" s="310">
        <v>1194676</v>
      </c>
      <c r="CI116" s="310">
        <v>389420</v>
      </c>
      <c r="CJ116" s="310"/>
      <c r="CK116" s="310"/>
      <c r="CL116" s="310"/>
      <c r="CM116" s="310"/>
      <c r="CN116" s="310"/>
      <c r="CO116" s="310"/>
      <c r="CP116" s="310"/>
      <c r="CQ116" s="311" t="s">
        <v>744</v>
      </c>
      <c r="CR116" s="311" t="s">
        <v>742</v>
      </c>
      <c r="CS116" s="311" t="s">
        <v>742</v>
      </c>
      <c r="CT116" s="311"/>
      <c r="CU116" s="311"/>
      <c r="CV116" s="311"/>
      <c r="CW116" s="311"/>
      <c r="CX116" s="311"/>
      <c r="CY116" s="311"/>
      <c r="CZ116" s="311"/>
      <c r="DA116" s="311"/>
      <c r="DB116" s="311"/>
      <c r="DC116" s="311"/>
      <c r="DD116" s="311"/>
      <c r="DE116" s="316"/>
      <c r="DF116" s="314"/>
      <c r="DG116" s="314"/>
      <c r="DH116" s="314"/>
      <c r="DI116" s="314"/>
      <c r="DJ116" s="314"/>
      <c r="DK116" s="314">
        <v>0</v>
      </c>
      <c r="DL116" s="314">
        <v>0</v>
      </c>
      <c r="DM116" s="314">
        <v>0</v>
      </c>
      <c r="DN116" s="314">
        <v>0</v>
      </c>
      <c r="DO116" s="314">
        <v>0</v>
      </c>
      <c r="DP116" s="314">
        <v>0</v>
      </c>
      <c r="DQ116" s="314">
        <v>350139</v>
      </c>
      <c r="DR116" s="314">
        <v>0</v>
      </c>
      <c r="DS116" s="314">
        <v>0</v>
      </c>
      <c r="DT116" s="314">
        <v>0</v>
      </c>
      <c r="DU116" s="314">
        <v>0</v>
      </c>
      <c r="DV116" s="314">
        <v>0</v>
      </c>
      <c r="DW116" s="314">
        <v>350139</v>
      </c>
      <c r="DX116" s="314">
        <v>0</v>
      </c>
      <c r="DY116" s="314">
        <v>350139</v>
      </c>
      <c r="DZ116" s="314">
        <v>0</v>
      </c>
      <c r="EA116" s="314">
        <v>350139</v>
      </c>
      <c r="EB116" s="314">
        <v>0</v>
      </c>
      <c r="EC116" s="317">
        <v>0</v>
      </c>
      <c r="ED116" s="317">
        <v>0</v>
      </c>
      <c r="EE116" s="317">
        <v>0</v>
      </c>
      <c r="EF116" s="317">
        <v>0</v>
      </c>
      <c r="EG116" s="317">
        <v>0</v>
      </c>
      <c r="EH116" s="317">
        <v>0</v>
      </c>
      <c r="EI116" s="317">
        <v>1</v>
      </c>
      <c r="EJ116" s="317">
        <v>0</v>
      </c>
      <c r="EK116" s="317">
        <v>0</v>
      </c>
      <c r="EL116" s="317">
        <v>0</v>
      </c>
      <c r="EM116" s="317">
        <v>0</v>
      </c>
      <c r="EN116" s="317">
        <v>0</v>
      </c>
      <c r="EO116" s="317">
        <v>1</v>
      </c>
      <c r="EP116" s="317">
        <v>0</v>
      </c>
      <c r="EQ116" s="317">
        <v>1</v>
      </c>
      <c r="ER116" s="317">
        <v>0</v>
      </c>
      <c r="ES116" s="317">
        <v>1</v>
      </c>
      <c r="ET116" s="317">
        <v>0</v>
      </c>
    </row>
    <row r="117" spans="1:150" x14ac:dyDescent="0.25">
      <c r="A117" s="310">
        <v>8430</v>
      </c>
      <c r="B117" s="310">
        <v>2023</v>
      </c>
      <c r="C117" s="310" t="s">
        <v>10</v>
      </c>
      <c r="D117" s="310" t="s">
        <v>943</v>
      </c>
      <c r="E117" s="310">
        <v>60301</v>
      </c>
      <c r="F117" s="310" t="s">
        <v>758</v>
      </c>
      <c r="G117" s="310">
        <v>5701</v>
      </c>
      <c r="H117" s="310" t="s">
        <v>758</v>
      </c>
      <c r="I117" s="310">
        <v>5701</v>
      </c>
      <c r="J117" s="310" t="s">
        <v>729</v>
      </c>
      <c r="K117" s="310" t="s">
        <v>769</v>
      </c>
      <c r="L117" s="310" t="s">
        <v>770</v>
      </c>
      <c r="M117" s="310" t="s">
        <v>732</v>
      </c>
      <c r="N117" s="310" t="s">
        <v>733</v>
      </c>
      <c r="O117" s="310" t="s">
        <v>734</v>
      </c>
      <c r="P117" s="310"/>
      <c r="Q117" s="310" t="s">
        <v>735</v>
      </c>
      <c r="R117" s="310" t="s">
        <v>824</v>
      </c>
      <c r="S117" s="310" t="s">
        <v>825</v>
      </c>
      <c r="T117" s="310">
        <v>32.921261000000001</v>
      </c>
      <c r="U117" s="310">
        <v>-106.072411</v>
      </c>
      <c r="V117" s="310"/>
      <c r="W117" s="311">
        <v>1</v>
      </c>
      <c r="X117" s="311">
        <v>1</v>
      </c>
      <c r="Y117" s="310" t="s">
        <v>826</v>
      </c>
      <c r="Z117" s="310" t="s">
        <v>827</v>
      </c>
      <c r="AA117" s="310"/>
      <c r="AB117" s="312">
        <v>0.14899999999999999</v>
      </c>
      <c r="AC117" s="313">
        <v>5</v>
      </c>
      <c r="AD117" s="312"/>
      <c r="AE117" s="310"/>
      <c r="AF117" s="310"/>
      <c r="AG117" s="311"/>
      <c r="AH117" s="311"/>
      <c r="AI117" s="312"/>
      <c r="AJ117" s="310"/>
      <c r="AK117" s="314"/>
      <c r="AL117" s="314"/>
      <c r="AM117" s="314">
        <v>22269</v>
      </c>
      <c r="AN117" s="314">
        <v>13168</v>
      </c>
      <c r="AO117" s="314">
        <v>6526</v>
      </c>
      <c r="AP117" s="314">
        <v>3859</v>
      </c>
      <c r="AQ117" s="314"/>
      <c r="AR117" s="314"/>
      <c r="AS117" s="314"/>
      <c r="AT117" s="314"/>
      <c r="AU117" s="314"/>
      <c r="AV117" s="314"/>
      <c r="AW117" s="314"/>
      <c r="AX117" s="314"/>
      <c r="AY117" s="315"/>
      <c r="AZ117" s="315"/>
      <c r="BA117" s="315"/>
      <c r="BB117" s="315"/>
      <c r="BC117" s="315"/>
      <c r="BD117" s="315"/>
      <c r="BE117" s="315"/>
      <c r="BF117" s="315"/>
      <c r="BG117" s="315"/>
      <c r="BH117" s="315"/>
      <c r="BI117" s="315"/>
      <c r="BJ117" s="315"/>
      <c r="BK117" s="315"/>
      <c r="BL117" s="315"/>
      <c r="BM117" s="315"/>
      <c r="BN117" s="315"/>
      <c r="BO117" s="315"/>
      <c r="BP117" s="315"/>
      <c r="BQ117" s="315"/>
      <c r="BR117" s="315"/>
      <c r="BS117" s="315"/>
      <c r="BT117" s="315"/>
      <c r="BU117" s="315"/>
      <c r="BV117" s="315"/>
      <c r="BW117" s="311"/>
      <c r="BX117" s="311"/>
      <c r="BY117" s="311"/>
      <c r="BZ117" s="311"/>
      <c r="CA117" s="311"/>
      <c r="CB117" s="311"/>
      <c r="CC117" s="311"/>
      <c r="CD117" s="311"/>
      <c r="CE117" s="311"/>
      <c r="CF117" s="311"/>
      <c r="CG117" s="311"/>
      <c r="CH117" s="310">
        <v>22269</v>
      </c>
      <c r="CI117" s="310">
        <v>13168</v>
      </c>
      <c r="CJ117" s="310"/>
      <c r="CK117" s="310"/>
      <c r="CL117" s="310"/>
      <c r="CM117" s="310"/>
      <c r="CN117" s="310"/>
      <c r="CO117" s="310"/>
      <c r="CP117" s="310"/>
      <c r="CQ117" s="311" t="s">
        <v>744</v>
      </c>
      <c r="CR117" s="311" t="s">
        <v>742</v>
      </c>
      <c r="CS117" s="311" t="s">
        <v>742</v>
      </c>
      <c r="CT117" s="311"/>
      <c r="CU117" s="311"/>
      <c r="CV117" s="311"/>
      <c r="CW117" s="311"/>
      <c r="CX117" s="311"/>
      <c r="CY117" s="311"/>
      <c r="CZ117" s="311"/>
      <c r="DA117" s="311"/>
      <c r="DB117" s="311"/>
      <c r="DC117" s="311"/>
      <c r="DD117" s="311"/>
      <c r="DE117" s="316"/>
      <c r="DF117" s="314"/>
      <c r="DG117" s="314"/>
      <c r="DH117" s="314"/>
      <c r="DI117" s="314"/>
      <c r="DJ117" s="314"/>
      <c r="DK117" s="314">
        <v>0</v>
      </c>
      <c r="DL117" s="314">
        <v>0</v>
      </c>
      <c r="DM117" s="314">
        <v>0</v>
      </c>
      <c r="DN117" s="314">
        <v>0</v>
      </c>
      <c r="DO117" s="314">
        <v>0</v>
      </c>
      <c r="DP117" s="314">
        <v>0</v>
      </c>
      <c r="DQ117" s="314">
        <v>0</v>
      </c>
      <c r="DR117" s="314">
        <v>6526</v>
      </c>
      <c r="DS117" s="314">
        <v>0</v>
      </c>
      <c r="DT117" s="314">
        <v>0</v>
      </c>
      <c r="DU117" s="314">
        <v>0</v>
      </c>
      <c r="DV117" s="314">
        <v>0</v>
      </c>
      <c r="DW117" s="314">
        <v>6526</v>
      </c>
      <c r="DX117" s="314">
        <v>0</v>
      </c>
      <c r="DY117" s="314">
        <v>6526</v>
      </c>
      <c r="DZ117" s="314">
        <v>0</v>
      </c>
      <c r="EA117" s="314">
        <v>6526</v>
      </c>
      <c r="EB117" s="314">
        <v>0</v>
      </c>
      <c r="EC117" s="317">
        <v>0</v>
      </c>
      <c r="ED117" s="317">
        <v>0</v>
      </c>
      <c r="EE117" s="317">
        <v>0</v>
      </c>
      <c r="EF117" s="317">
        <v>0</v>
      </c>
      <c r="EG117" s="317">
        <v>0</v>
      </c>
      <c r="EH117" s="317">
        <v>0</v>
      </c>
      <c r="EI117" s="317">
        <v>0</v>
      </c>
      <c r="EJ117" s="317">
        <v>1</v>
      </c>
      <c r="EK117" s="317">
        <v>0</v>
      </c>
      <c r="EL117" s="317">
        <v>0</v>
      </c>
      <c r="EM117" s="317">
        <v>0</v>
      </c>
      <c r="EN117" s="317">
        <v>0</v>
      </c>
      <c r="EO117" s="317">
        <v>1</v>
      </c>
      <c r="EP117" s="317">
        <v>0</v>
      </c>
      <c r="EQ117" s="317">
        <v>1</v>
      </c>
      <c r="ER117" s="317">
        <v>0</v>
      </c>
      <c r="ES117" s="317">
        <v>1</v>
      </c>
      <c r="ET117" s="317">
        <v>0</v>
      </c>
    </row>
    <row r="118" spans="1:150" x14ac:dyDescent="0.25">
      <c r="A118" s="310">
        <v>8431</v>
      </c>
      <c r="B118" s="310">
        <v>2023</v>
      </c>
      <c r="C118" s="310" t="s">
        <v>10</v>
      </c>
      <c r="D118" s="310" t="s">
        <v>944</v>
      </c>
      <c r="E118" s="310">
        <v>66163</v>
      </c>
      <c r="F118" s="310" t="s">
        <v>759</v>
      </c>
      <c r="G118" s="310">
        <v>15473</v>
      </c>
      <c r="H118" s="310" t="s">
        <v>945</v>
      </c>
      <c r="I118" s="310">
        <v>65265</v>
      </c>
      <c r="J118" s="310" t="s">
        <v>748</v>
      </c>
      <c r="K118" s="310" t="s">
        <v>760</v>
      </c>
      <c r="L118" s="310" t="s">
        <v>761</v>
      </c>
      <c r="M118" s="310" t="s">
        <v>732</v>
      </c>
      <c r="N118" s="310" t="s">
        <v>733</v>
      </c>
      <c r="O118" s="310" t="s">
        <v>734</v>
      </c>
      <c r="P118" s="310"/>
      <c r="Q118" s="310" t="s">
        <v>735</v>
      </c>
      <c r="R118" s="310" t="s">
        <v>818</v>
      </c>
      <c r="S118" s="310" t="s">
        <v>819</v>
      </c>
      <c r="T118" s="310">
        <v>36.316747999999997</v>
      </c>
      <c r="U118" s="310">
        <v>-107.277627</v>
      </c>
      <c r="V118" s="310"/>
      <c r="W118" s="311">
        <v>2</v>
      </c>
      <c r="X118" s="311">
        <v>2</v>
      </c>
      <c r="Y118" s="310" t="s">
        <v>826</v>
      </c>
      <c r="Z118" s="310" t="s">
        <v>827</v>
      </c>
      <c r="AA118" s="310"/>
      <c r="AB118" s="312">
        <v>2.4680000000000001E-2</v>
      </c>
      <c r="AC118" s="313">
        <v>70</v>
      </c>
      <c r="AD118" s="312"/>
      <c r="AE118" s="310"/>
      <c r="AF118" s="310"/>
      <c r="AG118" s="311"/>
      <c r="AH118" s="311"/>
      <c r="AI118" s="312"/>
      <c r="AJ118" s="310"/>
      <c r="AK118" s="314"/>
      <c r="AL118" s="314"/>
      <c r="AM118" s="314">
        <v>58022</v>
      </c>
      <c r="AN118" s="314">
        <v>30510</v>
      </c>
      <c r="AO118" s="314">
        <v>15131</v>
      </c>
      <c r="AP118" s="314">
        <v>8068</v>
      </c>
      <c r="AQ118" s="314"/>
      <c r="AR118" s="314"/>
      <c r="AS118" s="314"/>
      <c r="AT118" s="314"/>
      <c r="AU118" s="314"/>
      <c r="AV118" s="314"/>
      <c r="AW118" s="314"/>
      <c r="AX118" s="314"/>
      <c r="AY118" s="315"/>
      <c r="AZ118" s="315"/>
      <c r="BA118" s="315"/>
      <c r="BB118" s="315"/>
      <c r="BC118" s="315"/>
      <c r="BD118" s="315"/>
      <c r="BE118" s="315"/>
      <c r="BF118" s="315"/>
      <c r="BG118" s="315"/>
      <c r="BH118" s="315"/>
      <c r="BI118" s="315"/>
      <c r="BJ118" s="315"/>
      <c r="BK118" s="315"/>
      <c r="BL118" s="315"/>
      <c r="BM118" s="315"/>
      <c r="BN118" s="315"/>
      <c r="BO118" s="315"/>
      <c r="BP118" s="315"/>
      <c r="BQ118" s="315"/>
      <c r="BR118" s="315"/>
      <c r="BS118" s="315"/>
      <c r="BT118" s="315"/>
      <c r="BU118" s="315"/>
      <c r="BV118" s="315"/>
      <c r="BW118" s="311"/>
      <c r="BX118" s="311"/>
      <c r="BY118" s="311"/>
      <c r="BZ118" s="311"/>
      <c r="CA118" s="311"/>
      <c r="CB118" s="311"/>
      <c r="CC118" s="311"/>
      <c r="CD118" s="311"/>
      <c r="CE118" s="311"/>
      <c r="CF118" s="311"/>
      <c r="CG118" s="311"/>
      <c r="CH118" s="310">
        <v>58022</v>
      </c>
      <c r="CI118" s="310">
        <v>30510</v>
      </c>
      <c r="CJ118" s="310"/>
      <c r="CK118" s="310"/>
      <c r="CL118" s="310"/>
      <c r="CM118" s="310"/>
      <c r="CN118" s="310"/>
      <c r="CO118" s="310"/>
      <c r="CP118" s="310"/>
      <c r="CQ118" s="311" t="s">
        <v>744</v>
      </c>
      <c r="CR118" s="311" t="s">
        <v>742</v>
      </c>
      <c r="CS118" s="311" t="s">
        <v>742</v>
      </c>
      <c r="CT118" s="311"/>
      <c r="CU118" s="311"/>
      <c r="CV118" s="311"/>
      <c r="CW118" s="311"/>
      <c r="CX118" s="311"/>
      <c r="CY118" s="311"/>
      <c r="CZ118" s="311"/>
      <c r="DA118" s="311"/>
      <c r="DB118" s="311"/>
      <c r="DC118" s="311"/>
      <c r="DD118" s="311"/>
      <c r="DE118" s="316"/>
      <c r="DF118" s="314"/>
      <c r="DG118" s="314"/>
      <c r="DH118" s="314"/>
      <c r="DI118" s="314"/>
      <c r="DJ118" s="314"/>
      <c r="DK118" s="314">
        <v>0</v>
      </c>
      <c r="DL118" s="314">
        <v>0</v>
      </c>
      <c r="DM118" s="314">
        <v>0</v>
      </c>
      <c r="DN118" s="314">
        <v>0</v>
      </c>
      <c r="DO118" s="314">
        <v>0</v>
      </c>
      <c r="DP118" s="314">
        <v>0</v>
      </c>
      <c r="DQ118" s="314">
        <v>0</v>
      </c>
      <c r="DR118" s="314">
        <v>17005</v>
      </c>
      <c r="DS118" s="314">
        <v>0</v>
      </c>
      <c r="DT118" s="314">
        <v>0</v>
      </c>
      <c r="DU118" s="314">
        <v>-1874</v>
      </c>
      <c r="DV118" s="314">
        <v>0</v>
      </c>
      <c r="DW118" s="314">
        <v>17005</v>
      </c>
      <c r="DX118" s="314">
        <v>-1874</v>
      </c>
      <c r="DY118" s="314">
        <v>17005</v>
      </c>
      <c r="DZ118" s="314">
        <v>0</v>
      </c>
      <c r="EA118" s="314">
        <v>17005</v>
      </c>
      <c r="EB118" s="314">
        <v>-1874</v>
      </c>
      <c r="EC118" s="317">
        <v>0</v>
      </c>
      <c r="ED118" s="317">
        <v>0</v>
      </c>
      <c r="EE118" s="317">
        <v>0</v>
      </c>
      <c r="EF118" s="317">
        <v>0</v>
      </c>
      <c r="EG118" s="317">
        <v>0</v>
      </c>
      <c r="EH118" s="317">
        <v>0</v>
      </c>
      <c r="EI118" s="317">
        <v>0</v>
      </c>
      <c r="EJ118" s="317">
        <v>1</v>
      </c>
      <c r="EK118" s="317">
        <v>0</v>
      </c>
      <c r="EL118" s="317">
        <v>0</v>
      </c>
      <c r="EM118" s="317">
        <v>0</v>
      </c>
      <c r="EN118" s="317">
        <v>0</v>
      </c>
      <c r="EO118" s="317">
        <v>1</v>
      </c>
      <c r="EP118" s="317">
        <v>0</v>
      </c>
      <c r="EQ118" s="317">
        <v>1</v>
      </c>
      <c r="ER118" s="317">
        <v>0</v>
      </c>
      <c r="ES118" s="317">
        <v>1</v>
      </c>
      <c r="ET118" s="317">
        <v>0</v>
      </c>
    </row>
    <row r="119" spans="1:150" x14ac:dyDescent="0.25">
      <c r="A119" s="310">
        <v>8432</v>
      </c>
      <c r="B119" s="310">
        <v>2023</v>
      </c>
      <c r="C119" s="310" t="s">
        <v>10</v>
      </c>
      <c r="D119" s="310" t="s">
        <v>946</v>
      </c>
      <c r="E119" s="310">
        <v>65103</v>
      </c>
      <c r="F119" s="310" t="s">
        <v>759</v>
      </c>
      <c r="G119" s="310">
        <v>15473</v>
      </c>
      <c r="H119" s="310" t="s">
        <v>947</v>
      </c>
      <c r="I119" s="310">
        <v>64493</v>
      </c>
      <c r="J119" s="310" t="s">
        <v>748</v>
      </c>
      <c r="K119" s="310" t="s">
        <v>760</v>
      </c>
      <c r="L119" s="310" t="s">
        <v>761</v>
      </c>
      <c r="M119" s="310" t="s">
        <v>732</v>
      </c>
      <c r="N119" s="310" t="s">
        <v>733</v>
      </c>
      <c r="O119" s="310" t="s">
        <v>734</v>
      </c>
      <c r="P119" s="310"/>
      <c r="Q119" s="310" t="s">
        <v>735</v>
      </c>
      <c r="R119" s="310" t="s">
        <v>818</v>
      </c>
      <c r="S119" s="310" t="s">
        <v>819</v>
      </c>
      <c r="T119" s="310">
        <v>36.141052999999999</v>
      </c>
      <c r="U119" s="310">
        <v>-107.171233</v>
      </c>
      <c r="V119" s="310"/>
      <c r="W119" s="311">
        <v>1</v>
      </c>
      <c r="X119" s="311">
        <v>1</v>
      </c>
      <c r="Y119" s="310" t="s">
        <v>826</v>
      </c>
      <c r="Z119" s="310" t="s">
        <v>827</v>
      </c>
      <c r="AA119" s="310"/>
      <c r="AB119" s="312">
        <v>0.30262</v>
      </c>
      <c r="AC119" s="313">
        <v>50</v>
      </c>
      <c r="AD119" s="312"/>
      <c r="AE119" s="310"/>
      <c r="AF119" s="310"/>
      <c r="AG119" s="311"/>
      <c r="AH119" s="311"/>
      <c r="AI119" s="312"/>
      <c r="AJ119" s="310"/>
      <c r="AK119" s="314"/>
      <c r="AL119" s="314"/>
      <c r="AM119" s="314">
        <v>452249</v>
      </c>
      <c r="AN119" s="314">
        <v>231417</v>
      </c>
      <c r="AO119" s="314">
        <v>132546</v>
      </c>
      <c r="AP119" s="314">
        <v>67824</v>
      </c>
      <c r="AQ119" s="314"/>
      <c r="AR119" s="314"/>
      <c r="AS119" s="314"/>
      <c r="AT119" s="314"/>
      <c r="AU119" s="314"/>
      <c r="AV119" s="314"/>
      <c r="AW119" s="314"/>
      <c r="AX119" s="314"/>
      <c r="AY119" s="315"/>
      <c r="AZ119" s="315"/>
      <c r="BA119" s="315"/>
      <c r="BB119" s="315"/>
      <c r="BC119" s="315"/>
      <c r="BD119" s="315"/>
      <c r="BE119" s="315"/>
      <c r="BF119" s="315"/>
      <c r="BG119" s="315"/>
      <c r="BH119" s="315"/>
      <c r="BI119" s="315"/>
      <c r="BJ119" s="315"/>
      <c r="BK119" s="315"/>
      <c r="BL119" s="315"/>
      <c r="BM119" s="315"/>
      <c r="BN119" s="315"/>
      <c r="BO119" s="315"/>
      <c r="BP119" s="315"/>
      <c r="BQ119" s="315"/>
      <c r="BR119" s="315"/>
      <c r="BS119" s="315"/>
      <c r="BT119" s="315"/>
      <c r="BU119" s="315"/>
      <c r="BV119" s="315"/>
      <c r="BW119" s="311"/>
      <c r="BX119" s="311"/>
      <c r="BY119" s="311"/>
      <c r="BZ119" s="311"/>
      <c r="CA119" s="311"/>
      <c r="CB119" s="311"/>
      <c r="CC119" s="311"/>
      <c r="CD119" s="311"/>
      <c r="CE119" s="311"/>
      <c r="CF119" s="311"/>
      <c r="CG119" s="311"/>
      <c r="CH119" s="310">
        <v>452249</v>
      </c>
      <c r="CI119" s="310">
        <v>231417</v>
      </c>
      <c r="CJ119" s="310"/>
      <c r="CK119" s="310"/>
      <c r="CL119" s="310"/>
      <c r="CM119" s="310"/>
      <c r="CN119" s="310"/>
      <c r="CO119" s="310"/>
      <c r="CP119" s="310"/>
      <c r="CQ119" s="311" t="s">
        <v>744</v>
      </c>
      <c r="CR119" s="311" t="s">
        <v>742</v>
      </c>
      <c r="CS119" s="311" t="s">
        <v>742</v>
      </c>
      <c r="CT119" s="311"/>
      <c r="CU119" s="311"/>
      <c r="CV119" s="311"/>
      <c r="CW119" s="311"/>
      <c r="CX119" s="311"/>
      <c r="CY119" s="311"/>
      <c r="CZ119" s="311"/>
      <c r="DA119" s="311"/>
      <c r="DB119" s="311"/>
      <c r="DC119" s="311"/>
      <c r="DD119" s="311"/>
      <c r="DE119" s="316"/>
      <c r="DF119" s="314"/>
      <c r="DG119" s="314"/>
      <c r="DH119" s="314"/>
      <c r="DI119" s="314"/>
      <c r="DJ119" s="314"/>
      <c r="DK119" s="314">
        <v>0</v>
      </c>
      <c r="DL119" s="314">
        <v>0</v>
      </c>
      <c r="DM119" s="314">
        <v>0</v>
      </c>
      <c r="DN119" s="314">
        <v>0</v>
      </c>
      <c r="DO119" s="314">
        <v>0</v>
      </c>
      <c r="DP119" s="314">
        <v>0</v>
      </c>
      <c r="DQ119" s="314">
        <v>0</v>
      </c>
      <c r="DR119" s="314">
        <v>132546</v>
      </c>
      <c r="DS119" s="314">
        <v>0</v>
      </c>
      <c r="DT119" s="314">
        <v>0</v>
      </c>
      <c r="DU119" s="314">
        <v>0</v>
      </c>
      <c r="DV119" s="314">
        <v>0</v>
      </c>
      <c r="DW119" s="314">
        <v>132546</v>
      </c>
      <c r="DX119" s="314">
        <v>0</v>
      </c>
      <c r="DY119" s="314">
        <v>132546</v>
      </c>
      <c r="DZ119" s="314">
        <v>0</v>
      </c>
      <c r="EA119" s="314">
        <v>132546</v>
      </c>
      <c r="EB119" s="314">
        <v>0</v>
      </c>
      <c r="EC119" s="317">
        <v>0</v>
      </c>
      <c r="ED119" s="317">
        <v>0</v>
      </c>
      <c r="EE119" s="317">
        <v>0</v>
      </c>
      <c r="EF119" s="317">
        <v>0</v>
      </c>
      <c r="EG119" s="317">
        <v>0</v>
      </c>
      <c r="EH119" s="317">
        <v>0</v>
      </c>
      <c r="EI119" s="317">
        <v>0</v>
      </c>
      <c r="EJ119" s="317">
        <v>1</v>
      </c>
      <c r="EK119" s="317">
        <v>0</v>
      </c>
      <c r="EL119" s="317">
        <v>0</v>
      </c>
      <c r="EM119" s="317">
        <v>0</v>
      </c>
      <c r="EN119" s="317">
        <v>0</v>
      </c>
      <c r="EO119" s="317">
        <v>1</v>
      </c>
      <c r="EP119" s="317">
        <v>0</v>
      </c>
      <c r="EQ119" s="317">
        <v>1</v>
      </c>
      <c r="ER119" s="317">
        <v>0</v>
      </c>
      <c r="ES119" s="317">
        <v>1</v>
      </c>
      <c r="ET119" s="317">
        <v>0</v>
      </c>
    </row>
    <row r="120" spans="1:150" x14ac:dyDescent="0.25">
      <c r="A120" s="310">
        <v>8433</v>
      </c>
      <c r="B120" s="310">
        <v>2023</v>
      </c>
      <c r="C120" s="310" t="s">
        <v>10</v>
      </c>
      <c r="D120" s="310" t="s">
        <v>948</v>
      </c>
      <c r="E120" s="310">
        <v>58240</v>
      </c>
      <c r="F120" s="310" t="s">
        <v>844</v>
      </c>
      <c r="G120" s="310">
        <v>10378</v>
      </c>
      <c r="H120" s="310" t="s">
        <v>949</v>
      </c>
      <c r="I120" s="310">
        <v>63249</v>
      </c>
      <c r="J120" s="310" t="s">
        <v>748</v>
      </c>
      <c r="K120" s="310" t="s">
        <v>760</v>
      </c>
      <c r="L120" s="310" t="s">
        <v>761</v>
      </c>
      <c r="M120" s="310" t="s">
        <v>732</v>
      </c>
      <c r="N120" s="310" t="s">
        <v>733</v>
      </c>
      <c r="O120" s="310" t="s">
        <v>734</v>
      </c>
      <c r="P120" s="310"/>
      <c r="Q120" s="310" t="s">
        <v>735</v>
      </c>
      <c r="R120" s="310" t="s">
        <v>860</v>
      </c>
      <c r="S120" s="310" t="s">
        <v>861</v>
      </c>
      <c r="T120" s="310">
        <v>36.966667000000001</v>
      </c>
      <c r="U120" s="310">
        <v>-105.438056</v>
      </c>
      <c r="V120" s="310"/>
      <c r="W120" s="311">
        <v>1</v>
      </c>
      <c r="X120" s="311">
        <v>1</v>
      </c>
      <c r="Y120" s="310" t="s">
        <v>826</v>
      </c>
      <c r="Z120" s="310" t="s">
        <v>827</v>
      </c>
      <c r="AA120" s="310"/>
      <c r="AB120" s="312">
        <v>0.22761000000000001</v>
      </c>
      <c r="AC120" s="313">
        <v>1.3</v>
      </c>
      <c r="AD120" s="312"/>
      <c r="AE120" s="310"/>
      <c r="AF120" s="310"/>
      <c r="AG120" s="311"/>
      <c r="AH120" s="311"/>
      <c r="AI120" s="312"/>
      <c r="AJ120" s="310"/>
      <c r="AK120" s="314"/>
      <c r="AL120" s="314"/>
      <c r="AM120" s="314">
        <v>8844</v>
      </c>
      <c r="AN120" s="314">
        <v>4855</v>
      </c>
      <c r="AO120" s="314">
        <v>2592</v>
      </c>
      <c r="AP120" s="314">
        <v>1423</v>
      </c>
      <c r="AQ120" s="314"/>
      <c r="AR120" s="314"/>
      <c r="AS120" s="314"/>
      <c r="AT120" s="314"/>
      <c r="AU120" s="314"/>
      <c r="AV120" s="314"/>
      <c r="AW120" s="314"/>
      <c r="AX120" s="314"/>
      <c r="AY120" s="315"/>
      <c r="AZ120" s="315"/>
      <c r="BA120" s="315"/>
      <c r="BB120" s="315"/>
      <c r="BC120" s="315"/>
      <c r="BD120" s="315"/>
      <c r="BE120" s="315"/>
      <c r="BF120" s="315"/>
      <c r="BG120" s="315"/>
      <c r="BH120" s="315"/>
      <c r="BI120" s="315"/>
      <c r="BJ120" s="315"/>
      <c r="BK120" s="315"/>
      <c r="BL120" s="315"/>
      <c r="BM120" s="315"/>
      <c r="BN120" s="315"/>
      <c r="BO120" s="315"/>
      <c r="BP120" s="315"/>
      <c r="BQ120" s="315"/>
      <c r="BR120" s="315"/>
      <c r="BS120" s="315"/>
      <c r="BT120" s="315"/>
      <c r="BU120" s="315"/>
      <c r="BV120" s="315"/>
      <c r="BW120" s="311"/>
      <c r="BX120" s="311"/>
      <c r="BY120" s="311"/>
      <c r="BZ120" s="311"/>
      <c r="CA120" s="311"/>
      <c r="CB120" s="311"/>
      <c r="CC120" s="311"/>
      <c r="CD120" s="311"/>
      <c r="CE120" s="311"/>
      <c r="CF120" s="311"/>
      <c r="CG120" s="311"/>
      <c r="CH120" s="310">
        <v>8844</v>
      </c>
      <c r="CI120" s="310">
        <v>4855</v>
      </c>
      <c r="CJ120" s="310"/>
      <c r="CK120" s="310"/>
      <c r="CL120" s="310"/>
      <c r="CM120" s="310"/>
      <c r="CN120" s="310"/>
      <c r="CO120" s="310"/>
      <c r="CP120" s="310"/>
      <c r="CQ120" s="311" t="s">
        <v>744</v>
      </c>
      <c r="CR120" s="311" t="s">
        <v>742</v>
      </c>
      <c r="CS120" s="311" t="s">
        <v>742</v>
      </c>
      <c r="CT120" s="311"/>
      <c r="CU120" s="311"/>
      <c r="CV120" s="311"/>
      <c r="CW120" s="311"/>
      <c r="CX120" s="311"/>
      <c r="CY120" s="311"/>
      <c r="CZ120" s="311"/>
      <c r="DA120" s="311"/>
      <c r="DB120" s="311"/>
      <c r="DC120" s="311"/>
      <c r="DD120" s="311"/>
      <c r="DE120" s="316"/>
      <c r="DF120" s="314"/>
      <c r="DG120" s="314"/>
      <c r="DH120" s="314"/>
      <c r="DI120" s="314"/>
      <c r="DJ120" s="314"/>
      <c r="DK120" s="314">
        <v>0</v>
      </c>
      <c r="DL120" s="314">
        <v>0</v>
      </c>
      <c r="DM120" s="314">
        <v>0</v>
      </c>
      <c r="DN120" s="314">
        <v>0</v>
      </c>
      <c r="DO120" s="314">
        <v>0</v>
      </c>
      <c r="DP120" s="314">
        <v>0</v>
      </c>
      <c r="DQ120" s="314">
        <v>0</v>
      </c>
      <c r="DR120" s="314">
        <v>2592</v>
      </c>
      <c r="DS120" s="314">
        <v>0</v>
      </c>
      <c r="DT120" s="314">
        <v>0</v>
      </c>
      <c r="DU120" s="314">
        <v>0</v>
      </c>
      <c r="DV120" s="314">
        <v>0</v>
      </c>
      <c r="DW120" s="314">
        <v>2592</v>
      </c>
      <c r="DX120" s="314">
        <v>0</v>
      </c>
      <c r="DY120" s="314">
        <v>2592</v>
      </c>
      <c r="DZ120" s="314">
        <v>0</v>
      </c>
      <c r="EA120" s="314">
        <v>2592</v>
      </c>
      <c r="EB120" s="314">
        <v>0</v>
      </c>
      <c r="EC120" s="317">
        <v>0</v>
      </c>
      <c r="ED120" s="317">
        <v>0</v>
      </c>
      <c r="EE120" s="317">
        <v>0</v>
      </c>
      <c r="EF120" s="317">
        <v>0</v>
      </c>
      <c r="EG120" s="317">
        <v>0</v>
      </c>
      <c r="EH120" s="317">
        <v>0</v>
      </c>
      <c r="EI120" s="317">
        <v>0</v>
      </c>
      <c r="EJ120" s="317">
        <v>1</v>
      </c>
      <c r="EK120" s="317">
        <v>0</v>
      </c>
      <c r="EL120" s="317">
        <v>0</v>
      </c>
      <c r="EM120" s="317">
        <v>0</v>
      </c>
      <c r="EN120" s="317">
        <v>0</v>
      </c>
      <c r="EO120" s="317">
        <v>1</v>
      </c>
      <c r="EP120" s="317">
        <v>0</v>
      </c>
      <c r="EQ120" s="317">
        <v>1</v>
      </c>
      <c r="ER120" s="317">
        <v>0</v>
      </c>
      <c r="ES120" s="317">
        <v>1</v>
      </c>
      <c r="ET120" s="317">
        <v>0</v>
      </c>
    </row>
    <row r="121" spans="1:150" x14ac:dyDescent="0.25">
      <c r="A121" s="310">
        <v>8435</v>
      </c>
      <c r="B121" s="310">
        <v>2023</v>
      </c>
      <c r="C121" s="310" t="s">
        <v>10</v>
      </c>
      <c r="D121" s="310" t="s">
        <v>950</v>
      </c>
      <c r="E121" s="310">
        <v>61044</v>
      </c>
      <c r="F121" s="310" t="s">
        <v>759</v>
      </c>
      <c r="G121" s="310">
        <v>15473</v>
      </c>
      <c r="H121" s="310" t="s">
        <v>921</v>
      </c>
      <c r="I121" s="310">
        <v>15399</v>
      </c>
      <c r="J121" s="310" t="s">
        <v>748</v>
      </c>
      <c r="K121" s="310" t="s">
        <v>760</v>
      </c>
      <c r="L121" s="310" t="s">
        <v>761</v>
      </c>
      <c r="M121" s="310" t="s">
        <v>732</v>
      </c>
      <c r="N121" s="310" t="s">
        <v>733</v>
      </c>
      <c r="O121" s="310" t="s">
        <v>734</v>
      </c>
      <c r="P121" s="310"/>
      <c r="Q121" s="310" t="s">
        <v>735</v>
      </c>
      <c r="R121" s="310" t="s">
        <v>874</v>
      </c>
      <c r="S121" s="310" t="s">
        <v>875</v>
      </c>
      <c r="T121" s="310">
        <v>34.81</v>
      </c>
      <c r="U121" s="310">
        <v>-105.74</v>
      </c>
      <c r="V121" s="310"/>
      <c r="W121" s="311">
        <v>2</v>
      </c>
      <c r="X121" s="311">
        <v>2</v>
      </c>
      <c r="Y121" s="310" t="s">
        <v>840</v>
      </c>
      <c r="Z121" s="310" t="s">
        <v>841</v>
      </c>
      <c r="AA121" s="310"/>
      <c r="AB121" s="312">
        <v>0.40125</v>
      </c>
      <c r="AC121" s="313">
        <v>306.2</v>
      </c>
      <c r="AD121" s="312"/>
      <c r="AE121" s="310"/>
      <c r="AF121" s="310"/>
      <c r="AG121" s="311"/>
      <c r="AH121" s="311"/>
      <c r="AI121" s="312"/>
      <c r="AJ121" s="310"/>
      <c r="AK121" s="314"/>
      <c r="AL121" s="314"/>
      <c r="AM121" s="314">
        <v>3672255</v>
      </c>
      <c r="AN121" s="314">
        <v>1234609</v>
      </c>
      <c r="AO121" s="314">
        <v>1076276</v>
      </c>
      <c r="AP121" s="314">
        <v>361843</v>
      </c>
      <c r="AQ121" s="314"/>
      <c r="AR121" s="314"/>
      <c r="AS121" s="314"/>
      <c r="AT121" s="314"/>
      <c r="AU121" s="314"/>
      <c r="AV121" s="314"/>
      <c r="AW121" s="314"/>
      <c r="AX121" s="314"/>
      <c r="AY121" s="315"/>
      <c r="AZ121" s="315"/>
      <c r="BA121" s="315"/>
      <c r="BB121" s="315"/>
      <c r="BC121" s="315"/>
      <c r="BD121" s="315"/>
      <c r="BE121" s="315"/>
      <c r="BF121" s="315"/>
      <c r="BG121" s="315"/>
      <c r="BH121" s="315"/>
      <c r="BI121" s="315"/>
      <c r="BJ121" s="315"/>
      <c r="BK121" s="315"/>
      <c r="BL121" s="315"/>
      <c r="BM121" s="315"/>
      <c r="BN121" s="315"/>
      <c r="BO121" s="315"/>
      <c r="BP121" s="315"/>
      <c r="BQ121" s="315"/>
      <c r="BR121" s="315"/>
      <c r="BS121" s="315"/>
      <c r="BT121" s="315"/>
      <c r="BU121" s="315"/>
      <c r="BV121" s="315"/>
      <c r="BW121" s="311"/>
      <c r="BX121" s="311"/>
      <c r="BY121" s="311"/>
      <c r="BZ121" s="311"/>
      <c r="CA121" s="311"/>
      <c r="CB121" s="311"/>
      <c r="CC121" s="311"/>
      <c r="CD121" s="311"/>
      <c r="CE121" s="311"/>
      <c r="CF121" s="311"/>
      <c r="CG121" s="311"/>
      <c r="CH121" s="310">
        <v>3672255</v>
      </c>
      <c r="CI121" s="310">
        <v>1234609</v>
      </c>
      <c r="CJ121" s="310"/>
      <c r="CK121" s="310"/>
      <c r="CL121" s="310"/>
      <c r="CM121" s="310"/>
      <c r="CN121" s="310"/>
      <c r="CO121" s="310"/>
      <c r="CP121" s="310"/>
      <c r="CQ121" s="311" t="s">
        <v>744</v>
      </c>
      <c r="CR121" s="311" t="s">
        <v>742</v>
      </c>
      <c r="CS121" s="311" t="s">
        <v>742</v>
      </c>
      <c r="CT121" s="311"/>
      <c r="CU121" s="311"/>
      <c r="CV121" s="311"/>
      <c r="CW121" s="311"/>
      <c r="CX121" s="311"/>
      <c r="CY121" s="311"/>
      <c r="CZ121" s="311"/>
      <c r="DA121" s="311"/>
      <c r="DB121" s="311"/>
      <c r="DC121" s="311"/>
      <c r="DD121" s="311"/>
      <c r="DE121" s="316"/>
      <c r="DF121" s="314"/>
      <c r="DG121" s="314"/>
      <c r="DH121" s="314"/>
      <c r="DI121" s="314"/>
      <c r="DJ121" s="314"/>
      <c r="DK121" s="314">
        <v>0</v>
      </c>
      <c r="DL121" s="314">
        <v>0</v>
      </c>
      <c r="DM121" s="314">
        <v>0</v>
      </c>
      <c r="DN121" s="314">
        <v>0</v>
      </c>
      <c r="DO121" s="314">
        <v>0</v>
      </c>
      <c r="DP121" s="314">
        <v>0</v>
      </c>
      <c r="DQ121" s="314">
        <v>1076276</v>
      </c>
      <c r="DR121" s="314">
        <v>0</v>
      </c>
      <c r="DS121" s="314">
        <v>0</v>
      </c>
      <c r="DT121" s="314">
        <v>0</v>
      </c>
      <c r="DU121" s="314">
        <v>0</v>
      </c>
      <c r="DV121" s="314">
        <v>0</v>
      </c>
      <c r="DW121" s="314">
        <v>1076276</v>
      </c>
      <c r="DX121" s="314">
        <v>0</v>
      </c>
      <c r="DY121" s="314">
        <v>1076276</v>
      </c>
      <c r="DZ121" s="314">
        <v>0</v>
      </c>
      <c r="EA121" s="314">
        <v>1076276</v>
      </c>
      <c r="EB121" s="314">
        <v>0</v>
      </c>
      <c r="EC121" s="317">
        <v>0</v>
      </c>
      <c r="ED121" s="317">
        <v>0</v>
      </c>
      <c r="EE121" s="317">
        <v>0</v>
      </c>
      <c r="EF121" s="317">
        <v>0</v>
      </c>
      <c r="EG121" s="317">
        <v>0</v>
      </c>
      <c r="EH121" s="317">
        <v>0</v>
      </c>
      <c r="EI121" s="317">
        <v>1</v>
      </c>
      <c r="EJ121" s="317">
        <v>0</v>
      </c>
      <c r="EK121" s="317">
        <v>0</v>
      </c>
      <c r="EL121" s="317">
        <v>0</v>
      </c>
      <c r="EM121" s="317">
        <v>0</v>
      </c>
      <c r="EN121" s="317">
        <v>0</v>
      </c>
      <c r="EO121" s="317">
        <v>1</v>
      </c>
      <c r="EP121" s="317">
        <v>0</v>
      </c>
      <c r="EQ121" s="317">
        <v>1</v>
      </c>
      <c r="ER121" s="317">
        <v>0</v>
      </c>
      <c r="ES121" s="317">
        <v>1</v>
      </c>
      <c r="ET121" s="317">
        <v>0</v>
      </c>
    </row>
    <row r="122" spans="1:150" x14ac:dyDescent="0.25">
      <c r="A122" s="310">
        <v>8437</v>
      </c>
      <c r="B122" s="310">
        <v>2023</v>
      </c>
      <c r="C122" s="310" t="s">
        <v>10</v>
      </c>
      <c r="D122" s="310" t="s">
        <v>951</v>
      </c>
      <c r="E122" s="310">
        <v>57576</v>
      </c>
      <c r="F122" s="310" t="s">
        <v>759</v>
      </c>
      <c r="G122" s="310">
        <v>15473</v>
      </c>
      <c r="H122" s="310" t="s">
        <v>823</v>
      </c>
      <c r="I122" s="310">
        <v>59300</v>
      </c>
      <c r="J122" s="310" t="s">
        <v>729</v>
      </c>
      <c r="K122" s="310" t="s">
        <v>760</v>
      </c>
      <c r="L122" s="310" t="s">
        <v>761</v>
      </c>
      <c r="M122" s="310" t="s">
        <v>732</v>
      </c>
      <c r="N122" s="310" t="s">
        <v>733</v>
      </c>
      <c r="O122" s="310" t="s">
        <v>734</v>
      </c>
      <c r="P122" s="310"/>
      <c r="Q122" s="310" t="s">
        <v>735</v>
      </c>
      <c r="R122" s="310" t="s">
        <v>952</v>
      </c>
      <c r="S122" s="310" t="s">
        <v>953</v>
      </c>
      <c r="T122" s="310">
        <v>35.643332999999998</v>
      </c>
      <c r="U122" s="310">
        <v>-105.206667</v>
      </c>
      <c r="V122" s="310"/>
      <c r="W122" s="311">
        <v>1</v>
      </c>
      <c r="X122" s="311">
        <v>1</v>
      </c>
      <c r="Y122" s="310" t="s">
        <v>826</v>
      </c>
      <c r="Z122" s="310" t="s">
        <v>827</v>
      </c>
      <c r="AA122" s="310"/>
      <c r="AB122" s="312">
        <v>0.22708</v>
      </c>
      <c r="AC122" s="313">
        <v>5</v>
      </c>
      <c r="AD122" s="312"/>
      <c r="AE122" s="310"/>
      <c r="AF122" s="310"/>
      <c r="AG122" s="311"/>
      <c r="AH122" s="311"/>
      <c r="AI122" s="312"/>
      <c r="AJ122" s="310"/>
      <c r="AK122" s="314"/>
      <c r="AL122" s="314"/>
      <c r="AM122" s="314">
        <v>33936</v>
      </c>
      <c r="AN122" s="314">
        <v>14948</v>
      </c>
      <c r="AO122" s="314">
        <v>9946</v>
      </c>
      <c r="AP122" s="314">
        <v>4381</v>
      </c>
      <c r="AQ122" s="314"/>
      <c r="AR122" s="314"/>
      <c r="AS122" s="314"/>
      <c r="AT122" s="314"/>
      <c r="AU122" s="314"/>
      <c r="AV122" s="314"/>
      <c r="AW122" s="314"/>
      <c r="AX122" s="314"/>
      <c r="AY122" s="315"/>
      <c r="AZ122" s="315"/>
      <c r="BA122" s="315"/>
      <c r="BB122" s="315"/>
      <c r="BC122" s="315"/>
      <c r="BD122" s="315"/>
      <c r="BE122" s="315"/>
      <c r="BF122" s="315"/>
      <c r="BG122" s="315"/>
      <c r="BH122" s="315"/>
      <c r="BI122" s="315"/>
      <c r="BJ122" s="315"/>
      <c r="BK122" s="315"/>
      <c r="BL122" s="315"/>
      <c r="BM122" s="315"/>
      <c r="BN122" s="315"/>
      <c r="BO122" s="315"/>
      <c r="BP122" s="315"/>
      <c r="BQ122" s="315"/>
      <c r="BR122" s="315"/>
      <c r="BS122" s="315"/>
      <c r="BT122" s="315"/>
      <c r="BU122" s="315"/>
      <c r="BV122" s="315"/>
      <c r="BW122" s="311"/>
      <c r="BX122" s="311"/>
      <c r="BY122" s="311"/>
      <c r="BZ122" s="311"/>
      <c r="CA122" s="311"/>
      <c r="CB122" s="311"/>
      <c r="CC122" s="311"/>
      <c r="CD122" s="311"/>
      <c r="CE122" s="311"/>
      <c r="CF122" s="311"/>
      <c r="CG122" s="311"/>
      <c r="CH122" s="310">
        <v>33936</v>
      </c>
      <c r="CI122" s="310">
        <v>14948</v>
      </c>
      <c r="CJ122" s="310"/>
      <c r="CK122" s="310"/>
      <c r="CL122" s="310"/>
      <c r="CM122" s="310"/>
      <c r="CN122" s="310"/>
      <c r="CO122" s="310"/>
      <c r="CP122" s="310"/>
      <c r="CQ122" s="311" t="s">
        <v>744</v>
      </c>
      <c r="CR122" s="311" t="s">
        <v>742</v>
      </c>
      <c r="CS122" s="311" t="s">
        <v>742</v>
      </c>
      <c r="CT122" s="311"/>
      <c r="CU122" s="311"/>
      <c r="CV122" s="311"/>
      <c r="CW122" s="311"/>
      <c r="CX122" s="311"/>
      <c r="CY122" s="311"/>
      <c r="CZ122" s="311"/>
      <c r="DA122" s="311"/>
      <c r="DB122" s="311"/>
      <c r="DC122" s="311"/>
      <c r="DD122" s="311"/>
      <c r="DE122" s="316"/>
      <c r="DF122" s="314"/>
      <c r="DG122" s="314"/>
      <c r="DH122" s="314"/>
      <c r="DI122" s="314"/>
      <c r="DJ122" s="314"/>
      <c r="DK122" s="314">
        <v>0</v>
      </c>
      <c r="DL122" s="314">
        <v>0</v>
      </c>
      <c r="DM122" s="314">
        <v>0</v>
      </c>
      <c r="DN122" s="314">
        <v>0</v>
      </c>
      <c r="DO122" s="314">
        <v>0</v>
      </c>
      <c r="DP122" s="314">
        <v>0</v>
      </c>
      <c r="DQ122" s="314">
        <v>0</v>
      </c>
      <c r="DR122" s="314">
        <v>9946</v>
      </c>
      <c r="DS122" s="314">
        <v>0</v>
      </c>
      <c r="DT122" s="314">
        <v>0</v>
      </c>
      <c r="DU122" s="314">
        <v>0</v>
      </c>
      <c r="DV122" s="314">
        <v>0</v>
      </c>
      <c r="DW122" s="314">
        <v>9946</v>
      </c>
      <c r="DX122" s="314">
        <v>0</v>
      </c>
      <c r="DY122" s="314">
        <v>9946</v>
      </c>
      <c r="DZ122" s="314">
        <v>0</v>
      </c>
      <c r="EA122" s="314">
        <v>9946</v>
      </c>
      <c r="EB122" s="314">
        <v>0</v>
      </c>
      <c r="EC122" s="317">
        <v>0</v>
      </c>
      <c r="ED122" s="317">
        <v>0</v>
      </c>
      <c r="EE122" s="317">
        <v>0</v>
      </c>
      <c r="EF122" s="317">
        <v>0</v>
      </c>
      <c r="EG122" s="317">
        <v>0</v>
      </c>
      <c r="EH122" s="317">
        <v>0</v>
      </c>
      <c r="EI122" s="317">
        <v>0</v>
      </c>
      <c r="EJ122" s="317">
        <v>1</v>
      </c>
      <c r="EK122" s="317">
        <v>0</v>
      </c>
      <c r="EL122" s="317">
        <v>0</v>
      </c>
      <c r="EM122" s="317">
        <v>0</v>
      </c>
      <c r="EN122" s="317">
        <v>0</v>
      </c>
      <c r="EO122" s="317">
        <v>1</v>
      </c>
      <c r="EP122" s="317">
        <v>0</v>
      </c>
      <c r="EQ122" s="317">
        <v>1</v>
      </c>
      <c r="ER122" s="317">
        <v>0</v>
      </c>
      <c r="ES122" s="317">
        <v>1</v>
      </c>
      <c r="ET122" s="317">
        <v>0</v>
      </c>
    </row>
    <row r="123" spans="1:150" x14ac:dyDescent="0.25">
      <c r="A123" s="310">
        <v>8440</v>
      </c>
      <c r="B123" s="310">
        <v>2023</v>
      </c>
      <c r="C123" s="310" t="s">
        <v>10</v>
      </c>
      <c r="D123" s="310" t="s">
        <v>954</v>
      </c>
      <c r="E123" s="310">
        <v>58256</v>
      </c>
      <c r="F123" s="310" t="s">
        <v>817</v>
      </c>
      <c r="G123" s="310">
        <v>11204</v>
      </c>
      <c r="H123" s="310" t="s">
        <v>817</v>
      </c>
      <c r="I123" s="310">
        <v>11204</v>
      </c>
      <c r="J123" s="310" t="s">
        <v>729</v>
      </c>
      <c r="K123" s="310" t="s">
        <v>760</v>
      </c>
      <c r="L123" s="310" t="s">
        <v>761</v>
      </c>
      <c r="M123" s="310" t="s">
        <v>732</v>
      </c>
      <c r="N123" s="310" t="s">
        <v>733</v>
      </c>
      <c r="O123" s="310" t="s">
        <v>734</v>
      </c>
      <c r="P123" s="310"/>
      <c r="Q123" s="310" t="s">
        <v>735</v>
      </c>
      <c r="R123" s="310" t="s">
        <v>955</v>
      </c>
      <c r="S123" s="310" t="s">
        <v>956</v>
      </c>
      <c r="T123" s="310">
        <v>35.875556000000003</v>
      </c>
      <c r="U123" s="310">
        <v>-106.31</v>
      </c>
      <c r="V123" s="310"/>
      <c r="W123" s="311">
        <v>1</v>
      </c>
      <c r="X123" s="311">
        <v>1</v>
      </c>
      <c r="Y123" s="310" t="s">
        <v>826</v>
      </c>
      <c r="Z123" s="310" t="s">
        <v>827</v>
      </c>
      <c r="AA123" s="310"/>
      <c r="AB123" s="312">
        <v>5.4679999999999999E-2</v>
      </c>
      <c r="AC123" s="313">
        <v>1</v>
      </c>
      <c r="AD123" s="312"/>
      <c r="AE123" s="310"/>
      <c r="AF123" s="310"/>
      <c r="AG123" s="311"/>
      <c r="AH123" s="311"/>
      <c r="AI123" s="312"/>
      <c r="AJ123" s="310"/>
      <c r="AK123" s="314"/>
      <c r="AL123" s="314"/>
      <c r="AM123" s="314">
        <v>1636</v>
      </c>
      <c r="AN123" s="314">
        <v>270</v>
      </c>
      <c r="AO123" s="314">
        <v>479</v>
      </c>
      <c r="AP123" s="314">
        <v>79</v>
      </c>
      <c r="AQ123" s="314"/>
      <c r="AR123" s="314"/>
      <c r="AS123" s="314"/>
      <c r="AT123" s="314"/>
      <c r="AU123" s="314"/>
      <c r="AV123" s="314"/>
      <c r="AW123" s="314"/>
      <c r="AX123" s="314"/>
      <c r="AY123" s="315"/>
      <c r="AZ123" s="315"/>
      <c r="BA123" s="315"/>
      <c r="BB123" s="315"/>
      <c r="BC123" s="315"/>
      <c r="BD123" s="315"/>
      <c r="BE123" s="315"/>
      <c r="BF123" s="315"/>
      <c r="BG123" s="315"/>
      <c r="BH123" s="315"/>
      <c r="BI123" s="315"/>
      <c r="BJ123" s="315"/>
      <c r="BK123" s="315"/>
      <c r="BL123" s="315"/>
      <c r="BM123" s="315"/>
      <c r="BN123" s="315"/>
      <c r="BO123" s="315"/>
      <c r="BP123" s="315"/>
      <c r="BQ123" s="315"/>
      <c r="BR123" s="315"/>
      <c r="BS123" s="315"/>
      <c r="BT123" s="315"/>
      <c r="BU123" s="315"/>
      <c r="BV123" s="315"/>
      <c r="BW123" s="311"/>
      <c r="BX123" s="311"/>
      <c r="BY123" s="311"/>
      <c r="BZ123" s="311"/>
      <c r="CA123" s="311"/>
      <c r="CB123" s="311"/>
      <c r="CC123" s="311"/>
      <c r="CD123" s="311"/>
      <c r="CE123" s="311"/>
      <c r="CF123" s="311"/>
      <c r="CG123" s="311"/>
      <c r="CH123" s="310">
        <v>1636</v>
      </c>
      <c r="CI123" s="310">
        <v>270</v>
      </c>
      <c r="CJ123" s="310"/>
      <c r="CK123" s="310"/>
      <c r="CL123" s="310"/>
      <c r="CM123" s="310"/>
      <c r="CN123" s="310"/>
      <c r="CO123" s="310"/>
      <c r="CP123" s="310"/>
      <c r="CQ123" s="311" t="s">
        <v>744</v>
      </c>
      <c r="CR123" s="311" t="s">
        <v>742</v>
      </c>
      <c r="CS123" s="311" t="s">
        <v>742</v>
      </c>
      <c r="CT123" s="311"/>
      <c r="CU123" s="311"/>
      <c r="CV123" s="311"/>
      <c r="CW123" s="311"/>
      <c r="CX123" s="311"/>
      <c r="CY123" s="311"/>
      <c r="CZ123" s="311"/>
      <c r="DA123" s="311"/>
      <c r="DB123" s="311"/>
      <c r="DC123" s="311"/>
      <c r="DD123" s="311"/>
      <c r="DE123" s="316"/>
      <c r="DF123" s="314"/>
      <c r="DG123" s="314"/>
      <c r="DH123" s="314"/>
      <c r="DI123" s="314"/>
      <c r="DJ123" s="314"/>
      <c r="DK123" s="314">
        <v>0</v>
      </c>
      <c r="DL123" s="314">
        <v>0</v>
      </c>
      <c r="DM123" s="314">
        <v>0</v>
      </c>
      <c r="DN123" s="314">
        <v>0</v>
      </c>
      <c r="DO123" s="314">
        <v>0</v>
      </c>
      <c r="DP123" s="314">
        <v>0</v>
      </c>
      <c r="DQ123" s="314">
        <v>0</v>
      </c>
      <c r="DR123" s="314">
        <v>479</v>
      </c>
      <c r="DS123" s="314">
        <v>0</v>
      </c>
      <c r="DT123" s="314">
        <v>0</v>
      </c>
      <c r="DU123" s="314">
        <v>0</v>
      </c>
      <c r="DV123" s="314">
        <v>0</v>
      </c>
      <c r="DW123" s="314">
        <v>479</v>
      </c>
      <c r="DX123" s="314">
        <v>0</v>
      </c>
      <c r="DY123" s="314">
        <v>479</v>
      </c>
      <c r="DZ123" s="314">
        <v>0</v>
      </c>
      <c r="EA123" s="314">
        <v>479</v>
      </c>
      <c r="EB123" s="314">
        <v>0</v>
      </c>
      <c r="EC123" s="317">
        <v>0</v>
      </c>
      <c r="ED123" s="317">
        <v>0</v>
      </c>
      <c r="EE123" s="317">
        <v>0</v>
      </c>
      <c r="EF123" s="317">
        <v>0</v>
      </c>
      <c r="EG123" s="317">
        <v>0</v>
      </c>
      <c r="EH123" s="317">
        <v>0</v>
      </c>
      <c r="EI123" s="317">
        <v>0</v>
      </c>
      <c r="EJ123" s="317">
        <v>1</v>
      </c>
      <c r="EK123" s="317">
        <v>0</v>
      </c>
      <c r="EL123" s="317">
        <v>0</v>
      </c>
      <c r="EM123" s="317">
        <v>0</v>
      </c>
      <c r="EN123" s="317">
        <v>0</v>
      </c>
      <c r="EO123" s="317">
        <v>1</v>
      </c>
      <c r="EP123" s="317">
        <v>0</v>
      </c>
      <c r="EQ123" s="317">
        <v>1</v>
      </c>
      <c r="ER123" s="317">
        <v>0</v>
      </c>
      <c r="ES123" s="317">
        <v>1</v>
      </c>
      <c r="ET123" s="317">
        <v>0</v>
      </c>
    </row>
    <row r="124" spans="1:150" x14ac:dyDescent="0.25">
      <c r="A124" s="310">
        <v>8441</v>
      </c>
      <c r="B124" s="310">
        <v>2023</v>
      </c>
      <c r="C124" s="310" t="s">
        <v>10</v>
      </c>
      <c r="D124" s="310" t="s">
        <v>957</v>
      </c>
      <c r="E124" s="310">
        <v>57571</v>
      </c>
      <c r="F124" s="310" t="s">
        <v>759</v>
      </c>
      <c r="G124" s="310">
        <v>15473</v>
      </c>
      <c r="H124" s="310" t="s">
        <v>823</v>
      </c>
      <c r="I124" s="310">
        <v>59300</v>
      </c>
      <c r="J124" s="310" t="s">
        <v>729</v>
      </c>
      <c r="K124" s="310" t="s">
        <v>760</v>
      </c>
      <c r="L124" s="310" t="s">
        <v>761</v>
      </c>
      <c r="M124" s="310" t="s">
        <v>732</v>
      </c>
      <c r="N124" s="310" t="s">
        <v>733</v>
      </c>
      <c r="O124" s="310" t="s">
        <v>734</v>
      </c>
      <c r="P124" s="310"/>
      <c r="Q124" s="310" t="s">
        <v>735</v>
      </c>
      <c r="R124" s="310" t="s">
        <v>786</v>
      </c>
      <c r="S124" s="310" t="s">
        <v>787</v>
      </c>
      <c r="T124" s="310">
        <v>34.833136000000003</v>
      </c>
      <c r="U124" s="310">
        <v>-106.772413</v>
      </c>
      <c r="V124" s="310"/>
      <c r="W124" s="311">
        <v>2</v>
      </c>
      <c r="X124" s="311">
        <v>2</v>
      </c>
      <c r="Y124" s="310" t="s">
        <v>826</v>
      </c>
      <c r="Z124" s="310" t="s">
        <v>827</v>
      </c>
      <c r="AA124" s="310"/>
      <c r="AB124" s="312">
        <v>0.24573</v>
      </c>
      <c r="AC124" s="313">
        <v>7</v>
      </c>
      <c r="AD124" s="312"/>
      <c r="AE124" s="310"/>
      <c r="AF124" s="310"/>
      <c r="AG124" s="311"/>
      <c r="AH124" s="311"/>
      <c r="AI124" s="312"/>
      <c r="AJ124" s="310"/>
      <c r="AK124" s="314"/>
      <c r="AL124" s="314"/>
      <c r="AM124" s="314">
        <v>51414</v>
      </c>
      <c r="AN124" s="314">
        <v>23977</v>
      </c>
      <c r="AO124" s="314">
        <v>15068</v>
      </c>
      <c r="AP124" s="314">
        <v>7027</v>
      </c>
      <c r="AQ124" s="314"/>
      <c r="AR124" s="314"/>
      <c r="AS124" s="314"/>
      <c r="AT124" s="314"/>
      <c r="AU124" s="314"/>
      <c r="AV124" s="314"/>
      <c r="AW124" s="314"/>
      <c r="AX124" s="314"/>
      <c r="AY124" s="315"/>
      <c r="AZ124" s="315"/>
      <c r="BA124" s="315"/>
      <c r="BB124" s="315"/>
      <c r="BC124" s="315"/>
      <c r="BD124" s="315"/>
      <c r="BE124" s="315"/>
      <c r="BF124" s="315"/>
      <c r="BG124" s="315"/>
      <c r="BH124" s="315"/>
      <c r="BI124" s="315"/>
      <c r="BJ124" s="315"/>
      <c r="BK124" s="315"/>
      <c r="BL124" s="315"/>
      <c r="BM124" s="315"/>
      <c r="BN124" s="315"/>
      <c r="BO124" s="315"/>
      <c r="BP124" s="315"/>
      <c r="BQ124" s="315"/>
      <c r="BR124" s="315"/>
      <c r="BS124" s="315"/>
      <c r="BT124" s="315"/>
      <c r="BU124" s="315"/>
      <c r="BV124" s="315"/>
      <c r="BW124" s="311"/>
      <c r="BX124" s="311"/>
      <c r="BY124" s="311"/>
      <c r="BZ124" s="311"/>
      <c r="CA124" s="311"/>
      <c r="CB124" s="311"/>
      <c r="CC124" s="311"/>
      <c r="CD124" s="311"/>
      <c r="CE124" s="311"/>
      <c r="CF124" s="311"/>
      <c r="CG124" s="311"/>
      <c r="CH124" s="310">
        <v>51414</v>
      </c>
      <c r="CI124" s="310">
        <v>23977</v>
      </c>
      <c r="CJ124" s="310"/>
      <c r="CK124" s="310"/>
      <c r="CL124" s="310"/>
      <c r="CM124" s="310"/>
      <c r="CN124" s="310"/>
      <c r="CO124" s="310"/>
      <c r="CP124" s="310"/>
      <c r="CQ124" s="311" t="s">
        <v>744</v>
      </c>
      <c r="CR124" s="311" t="s">
        <v>742</v>
      </c>
      <c r="CS124" s="311" t="s">
        <v>742</v>
      </c>
      <c r="CT124" s="311"/>
      <c r="CU124" s="311"/>
      <c r="CV124" s="311"/>
      <c r="CW124" s="311"/>
      <c r="CX124" s="311"/>
      <c r="CY124" s="311"/>
      <c r="CZ124" s="311"/>
      <c r="DA124" s="311"/>
      <c r="DB124" s="311"/>
      <c r="DC124" s="311"/>
      <c r="DD124" s="311"/>
      <c r="DE124" s="316"/>
      <c r="DF124" s="314"/>
      <c r="DG124" s="314"/>
      <c r="DH124" s="314"/>
      <c r="DI124" s="314"/>
      <c r="DJ124" s="314"/>
      <c r="DK124" s="314">
        <v>0</v>
      </c>
      <c r="DL124" s="314">
        <v>0</v>
      </c>
      <c r="DM124" s="314">
        <v>0</v>
      </c>
      <c r="DN124" s="314">
        <v>0</v>
      </c>
      <c r="DO124" s="314">
        <v>0</v>
      </c>
      <c r="DP124" s="314">
        <v>0</v>
      </c>
      <c r="DQ124" s="314">
        <v>0</v>
      </c>
      <c r="DR124" s="314">
        <v>15068</v>
      </c>
      <c r="DS124" s="314">
        <v>0</v>
      </c>
      <c r="DT124" s="314">
        <v>0</v>
      </c>
      <c r="DU124" s="314">
        <v>0</v>
      </c>
      <c r="DV124" s="314">
        <v>0</v>
      </c>
      <c r="DW124" s="314">
        <v>15068</v>
      </c>
      <c r="DX124" s="314">
        <v>0</v>
      </c>
      <c r="DY124" s="314">
        <v>15068</v>
      </c>
      <c r="DZ124" s="314">
        <v>0</v>
      </c>
      <c r="EA124" s="314">
        <v>15068</v>
      </c>
      <c r="EB124" s="314">
        <v>0</v>
      </c>
      <c r="EC124" s="317">
        <v>0</v>
      </c>
      <c r="ED124" s="317">
        <v>0</v>
      </c>
      <c r="EE124" s="317">
        <v>0</v>
      </c>
      <c r="EF124" s="317">
        <v>0</v>
      </c>
      <c r="EG124" s="317">
        <v>0</v>
      </c>
      <c r="EH124" s="317">
        <v>0</v>
      </c>
      <c r="EI124" s="317">
        <v>0</v>
      </c>
      <c r="EJ124" s="317">
        <v>1</v>
      </c>
      <c r="EK124" s="317">
        <v>0</v>
      </c>
      <c r="EL124" s="317">
        <v>0</v>
      </c>
      <c r="EM124" s="317">
        <v>0</v>
      </c>
      <c r="EN124" s="317">
        <v>0</v>
      </c>
      <c r="EO124" s="317">
        <v>1</v>
      </c>
      <c r="EP124" s="317">
        <v>0</v>
      </c>
      <c r="EQ124" s="317">
        <v>1</v>
      </c>
      <c r="ER124" s="317">
        <v>0</v>
      </c>
      <c r="ES124" s="317">
        <v>1</v>
      </c>
      <c r="ET124" s="317">
        <v>0</v>
      </c>
    </row>
    <row r="125" spans="1:150" x14ac:dyDescent="0.25">
      <c r="A125" s="310">
        <v>8443</v>
      </c>
      <c r="B125" s="310">
        <v>2023</v>
      </c>
      <c r="C125" s="310" t="s">
        <v>10</v>
      </c>
      <c r="D125" s="310" t="s">
        <v>958</v>
      </c>
      <c r="E125" s="310">
        <v>59010</v>
      </c>
      <c r="F125" s="310" t="s">
        <v>758</v>
      </c>
      <c r="G125" s="310">
        <v>5701</v>
      </c>
      <c r="H125" s="310" t="s">
        <v>906</v>
      </c>
      <c r="I125" s="310">
        <v>17650</v>
      </c>
      <c r="J125" s="310" t="s">
        <v>748</v>
      </c>
      <c r="K125" s="310" t="s">
        <v>769</v>
      </c>
      <c r="L125" s="310" t="s">
        <v>770</v>
      </c>
      <c r="M125" s="310" t="s">
        <v>732</v>
      </c>
      <c r="N125" s="310" t="s">
        <v>733</v>
      </c>
      <c r="O125" s="310" t="s">
        <v>734</v>
      </c>
      <c r="P125" s="310"/>
      <c r="Q125" s="310" t="s">
        <v>735</v>
      </c>
      <c r="R125" s="310" t="s">
        <v>762</v>
      </c>
      <c r="S125" s="310" t="s">
        <v>763</v>
      </c>
      <c r="T125" s="310">
        <v>32.57</v>
      </c>
      <c r="U125" s="310">
        <v>-107.48</v>
      </c>
      <c r="V125" s="310"/>
      <c r="W125" s="311">
        <v>1</v>
      </c>
      <c r="X125" s="311">
        <v>1</v>
      </c>
      <c r="Y125" s="310" t="s">
        <v>826</v>
      </c>
      <c r="Z125" s="310" t="s">
        <v>827</v>
      </c>
      <c r="AA125" s="310"/>
      <c r="AB125" s="312">
        <v>0.23968999999999999</v>
      </c>
      <c r="AC125" s="313">
        <v>55</v>
      </c>
      <c r="AD125" s="312"/>
      <c r="AE125" s="310"/>
      <c r="AF125" s="310"/>
      <c r="AG125" s="311"/>
      <c r="AH125" s="311"/>
      <c r="AI125" s="312"/>
      <c r="AJ125" s="310"/>
      <c r="AK125" s="314"/>
      <c r="AL125" s="314"/>
      <c r="AM125" s="314">
        <v>394029</v>
      </c>
      <c r="AN125" s="314">
        <v>195420</v>
      </c>
      <c r="AO125" s="314">
        <v>115483</v>
      </c>
      <c r="AP125" s="314">
        <v>57274</v>
      </c>
      <c r="AQ125" s="314"/>
      <c r="AR125" s="314"/>
      <c r="AS125" s="314"/>
      <c r="AT125" s="314"/>
      <c r="AU125" s="314"/>
      <c r="AV125" s="314"/>
      <c r="AW125" s="314"/>
      <c r="AX125" s="314"/>
      <c r="AY125" s="315"/>
      <c r="AZ125" s="315"/>
      <c r="BA125" s="315"/>
      <c r="BB125" s="315"/>
      <c r="BC125" s="315"/>
      <c r="BD125" s="315"/>
      <c r="BE125" s="315"/>
      <c r="BF125" s="315"/>
      <c r="BG125" s="315"/>
      <c r="BH125" s="315"/>
      <c r="BI125" s="315"/>
      <c r="BJ125" s="315"/>
      <c r="BK125" s="315"/>
      <c r="BL125" s="315"/>
      <c r="BM125" s="315"/>
      <c r="BN125" s="315"/>
      <c r="BO125" s="315"/>
      <c r="BP125" s="315"/>
      <c r="BQ125" s="315"/>
      <c r="BR125" s="315"/>
      <c r="BS125" s="315"/>
      <c r="BT125" s="315"/>
      <c r="BU125" s="315"/>
      <c r="BV125" s="315"/>
      <c r="BW125" s="311"/>
      <c r="BX125" s="311"/>
      <c r="BY125" s="311"/>
      <c r="BZ125" s="311"/>
      <c r="CA125" s="311"/>
      <c r="CB125" s="311"/>
      <c r="CC125" s="311"/>
      <c r="CD125" s="311"/>
      <c r="CE125" s="311"/>
      <c r="CF125" s="311"/>
      <c r="CG125" s="311"/>
      <c r="CH125" s="310">
        <v>394029</v>
      </c>
      <c r="CI125" s="310">
        <v>195420</v>
      </c>
      <c r="CJ125" s="310"/>
      <c r="CK125" s="310"/>
      <c r="CL125" s="310"/>
      <c r="CM125" s="310"/>
      <c r="CN125" s="310"/>
      <c r="CO125" s="310"/>
      <c r="CP125" s="310"/>
      <c r="CQ125" s="311" t="s">
        <v>744</v>
      </c>
      <c r="CR125" s="311" t="s">
        <v>742</v>
      </c>
      <c r="CS125" s="311" t="s">
        <v>742</v>
      </c>
      <c r="CT125" s="311"/>
      <c r="CU125" s="311"/>
      <c r="CV125" s="311"/>
      <c r="CW125" s="311"/>
      <c r="CX125" s="311"/>
      <c r="CY125" s="311"/>
      <c r="CZ125" s="311"/>
      <c r="DA125" s="311"/>
      <c r="DB125" s="311"/>
      <c r="DC125" s="311"/>
      <c r="DD125" s="311"/>
      <c r="DE125" s="316"/>
      <c r="DF125" s="314"/>
      <c r="DG125" s="314"/>
      <c r="DH125" s="314"/>
      <c r="DI125" s="314"/>
      <c r="DJ125" s="314"/>
      <c r="DK125" s="314">
        <v>0</v>
      </c>
      <c r="DL125" s="314">
        <v>0</v>
      </c>
      <c r="DM125" s="314">
        <v>0</v>
      </c>
      <c r="DN125" s="314">
        <v>0</v>
      </c>
      <c r="DO125" s="314">
        <v>0</v>
      </c>
      <c r="DP125" s="314">
        <v>0</v>
      </c>
      <c r="DQ125" s="314">
        <v>0</v>
      </c>
      <c r="DR125" s="314">
        <v>115483</v>
      </c>
      <c r="DS125" s="314">
        <v>0</v>
      </c>
      <c r="DT125" s="314">
        <v>0</v>
      </c>
      <c r="DU125" s="314">
        <v>0</v>
      </c>
      <c r="DV125" s="314">
        <v>0</v>
      </c>
      <c r="DW125" s="314">
        <v>115483</v>
      </c>
      <c r="DX125" s="314">
        <v>0</v>
      </c>
      <c r="DY125" s="314">
        <v>115483</v>
      </c>
      <c r="DZ125" s="314">
        <v>0</v>
      </c>
      <c r="EA125" s="314">
        <v>115483</v>
      </c>
      <c r="EB125" s="314">
        <v>0</v>
      </c>
      <c r="EC125" s="317">
        <v>0</v>
      </c>
      <c r="ED125" s="317">
        <v>0</v>
      </c>
      <c r="EE125" s="317">
        <v>0</v>
      </c>
      <c r="EF125" s="317">
        <v>0</v>
      </c>
      <c r="EG125" s="317">
        <v>0</v>
      </c>
      <c r="EH125" s="317">
        <v>0</v>
      </c>
      <c r="EI125" s="317">
        <v>0</v>
      </c>
      <c r="EJ125" s="317">
        <v>1</v>
      </c>
      <c r="EK125" s="317">
        <v>0</v>
      </c>
      <c r="EL125" s="317">
        <v>0</v>
      </c>
      <c r="EM125" s="317">
        <v>0</v>
      </c>
      <c r="EN125" s="317">
        <v>0</v>
      </c>
      <c r="EO125" s="317">
        <v>1</v>
      </c>
      <c r="EP125" s="317">
        <v>0</v>
      </c>
      <c r="EQ125" s="317">
        <v>1</v>
      </c>
      <c r="ER125" s="317">
        <v>0</v>
      </c>
      <c r="ES125" s="317">
        <v>1</v>
      </c>
      <c r="ET125" s="317">
        <v>0</v>
      </c>
    </row>
    <row r="126" spans="1:150" x14ac:dyDescent="0.25">
      <c r="A126" s="310">
        <v>8444</v>
      </c>
      <c r="B126" s="310">
        <v>2023</v>
      </c>
      <c r="C126" s="310" t="s">
        <v>10</v>
      </c>
      <c r="D126" s="310" t="s">
        <v>959</v>
      </c>
      <c r="E126" s="310">
        <v>57947</v>
      </c>
      <c r="F126" s="310" t="s">
        <v>960</v>
      </c>
      <c r="G126" s="310">
        <v>56526</v>
      </c>
      <c r="H126" s="310" t="s">
        <v>961</v>
      </c>
      <c r="I126" s="310">
        <v>59365</v>
      </c>
      <c r="J126" s="310" t="s">
        <v>748</v>
      </c>
      <c r="K126" s="310" t="s">
        <v>769</v>
      </c>
      <c r="L126" s="310" t="s">
        <v>770</v>
      </c>
      <c r="M126" s="310" t="s">
        <v>732</v>
      </c>
      <c r="N126" s="310" t="s">
        <v>733</v>
      </c>
      <c r="O126" s="310" t="s">
        <v>734</v>
      </c>
      <c r="P126" s="310"/>
      <c r="Q126" s="310" t="s">
        <v>735</v>
      </c>
      <c r="R126" s="310" t="s">
        <v>762</v>
      </c>
      <c r="S126" s="310" t="s">
        <v>763</v>
      </c>
      <c r="T126" s="310">
        <v>32.554340000000003</v>
      </c>
      <c r="U126" s="310">
        <v>-107.50928999999999</v>
      </c>
      <c r="V126" s="310"/>
      <c r="W126" s="311">
        <v>1</v>
      </c>
      <c r="X126" s="311">
        <v>1</v>
      </c>
      <c r="Y126" s="310" t="s">
        <v>840</v>
      </c>
      <c r="Z126" s="310" t="s">
        <v>841</v>
      </c>
      <c r="AA126" s="310"/>
      <c r="AB126" s="312">
        <v>0.29848000000000002</v>
      </c>
      <c r="AC126" s="313">
        <v>50.4</v>
      </c>
      <c r="AD126" s="312"/>
      <c r="AE126" s="310"/>
      <c r="AF126" s="310"/>
      <c r="AG126" s="311"/>
      <c r="AH126" s="311"/>
      <c r="AI126" s="312"/>
      <c r="AJ126" s="310"/>
      <c r="AK126" s="314"/>
      <c r="AL126" s="314"/>
      <c r="AM126" s="314">
        <v>449630</v>
      </c>
      <c r="AN126" s="314">
        <v>161589</v>
      </c>
      <c r="AO126" s="314">
        <v>131779</v>
      </c>
      <c r="AP126" s="314">
        <v>47359</v>
      </c>
      <c r="AQ126" s="314"/>
      <c r="AR126" s="314"/>
      <c r="AS126" s="314"/>
      <c r="AT126" s="314"/>
      <c r="AU126" s="314"/>
      <c r="AV126" s="314"/>
      <c r="AW126" s="314"/>
      <c r="AX126" s="314"/>
      <c r="AY126" s="315"/>
      <c r="AZ126" s="315"/>
      <c r="BA126" s="315"/>
      <c r="BB126" s="315"/>
      <c r="BC126" s="315"/>
      <c r="BD126" s="315"/>
      <c r="BE126" s="315"/>
      <c r="BF126" s="315"/>
      <c r="BG126" s="315"/>
      <c r="BH126" s="315"/>
      <c r="BI126" s="315"/>
      <c r="BJ126" s="315"/>
      <c r="BK126" s="315"/>
      <c r="BL126" s="315"/>
      <c r="BM126" s="315"/>
      <c r="BN126" s="315"/>
      <c r="BO126" s="315"/>
      <c r="BP126" s="315"/>
      <c r="BQ126" s="315"/>
      <c r="BR126" s="315"/>
      <c r="BS126" s="315"/>
      <c r="BT126" s="315"/>
      <c r="BU126" s="315"/>
      <c r="BV126" s="315"/>
      <c r="BW126" s="311"/>
      <c r="BX126" s="311"/>
      <c r="BY126" s="311"/>
      <c r="BZ126" s="311"/>
      <c r="CA126" s="311"/>
      <c r="CB126" s="311"/>
      <c r="CC126" s="311"/>
      <c r="CD126" s="311"/>
      <c r="CE126" s="311"/>
      <c r="CF126" s="311"/>
      <c r="CG126" s="311"/>
      <c r="CH126" s="310">
        <v>449630</v>
      </c>
      <c r="CI126" s="310">
        <v>161589</v>
      </c>
      <c r="CJ126" s="310"/>
      <c r="CK126" s="310"/>
      <c r="CL126" s="310"/>
      <c r="CM126" s="310"/>
      <c r="CN126" s="310"/>
      <c r="CO126" s="310"/>
      <c r="CP126" s="310"/>
      <c r="CQ126" s="311" t="s">
        <v>744</v>
      </c>
      <c r="CR126" s="311" t="s">
        <v>742</v>
      </c>
      <c r="CS126" s="311" t="s">
        <v>742</v>
      </c>
      <c r="CT126" s="311"/>
      <c r="CU126" s="311"/>
      <c r="CV126" s="311"/>
      <c r="CW126" s="311"/>
      <c r="CX126" s="311"/>
      <c r="CY126" s="311"/>
      <c r="CZ126" s="311"/>
      <c r="DA126" s="311"/>
      <c r="DB126" s="311"/>
      <c r="DC126" s="311"/>
      <c r="DD126" s="311"/>
      <c r="DE126" s="316"/>
      <c r="DF126" s="314"/>
      <c r="DG126" s="314"/>
      <c r="DH126" s="314"/>
      <c r="DI126" s="314"/>
      <c r="DJ126" s="314"/>
      <c r="DK126" s="314">
        <v>0</v>
      </c>
      <c r="DL126" s="314">
        <v>0</v>
      </c>
      <c r="DM126" s="314">
        <v>0</v>
      </c>
      <c r="DN126" s="314">
        <v>0</v>
      </c>
      <c r="DO126" s="314">
        <v>0</v>
      </c>
      <c r="DP126" s="314">
        <v>0</v>
      </c>
      <c r="DQ126" s="314">
        <v>131779</v>
      </c>
      <c r="DR126" s="314">
        <v>0</v>
      </c>
      <c r="DS126" s="314">
        <v>0</v>
      </c>
      <c r="DT126" s="314">
        <v>0</v>
      </c>
      <c r="DU126" s="314">
        <v>0</v>
      </c>
      <c r="DV126" s="314">
        <v>0</v>
      </c>
      <c r="DW126" s="314">
        <v>131779</v>
      </c>
      <c r="DX126" s="314">
        <v>0</v>
      </c>
      <c r="DY126" s="314">
        <v>131779</v>
      </c>
      <c r="DZ126" s="314">
        <v>0</v>
      </c>
      <c r="EA126" s="314">
        <v>131779</v>
      </c>
      <c r="EB126" s="314">
        <v>0</v>
      </c>
      <c r="EC126" s="317">
        <v>0</v>
      </c>
      <c r="ED126" s="317">
        <v>0</v>
      </c>
      <c r="EE126" s="317">
        <v>0</v>
      </c>
      <c r="EF126" s="317">
        <v>0</v>
      </c>
      <c r="EG126" s="317">
        <v>0</v>
      </c>
      <c r="EH126" s="317">
        <v>0</v>
      </c>
      <c r="EI126" s="317">
        <v>1</v>
      </c>
      <c r="EJ126" s="317">
        <v>0</v>
      </c>
      <c r="EK126" s="317">
        <v>0</v>
      </c>
      <c r="EL126" s="317">
        <v>0</v>
      </c>
      <c r="EM126" s="317">
        <v>0</v>
      </c>
      <c r="EN126" s="317">
        <v>0</v>
      </c>
      <c r="EO126" s="317">
        <v>1</v>
      </c>
      <c r="EP126" s="317">
        <v>0</v>
      </c>
      <c r="EQ126" s="317">
        <v>1</v>
      </c>
      <c r="ER126" s="317">
        <v>0</v>
      </c>
      <c r="ES126" s="317">
        <v>1</v>
      </c>
      <c r="ET126" s="317">
        <v>0</v>
      </c>
    </row>
    <row r="127" spans="1:150" x14ac:dyDescent="0.25">
      <c r="A127" s="310">
        <v>8446</v>
      </c>
      <c r="B127" s="310">
        <v>2023</v>
      </c>
      <c r="C127" s="310" t="s">
        <v>10</v>
      </c>
      <c r="D127" s="310" t="s">
        <v>962</v>
      </c>
      <c r="E127" s="310">
        <v>58521</v>
      </c>
      <c r="F127" s="310" t="s">
        <v>759</v>
      </c>
      <c r="G127" s="310">
        <v>15473</v>
      </c>
      <c r="H127" s="310" t="s">
        <v>823</v>
      </c>
      <c r="I127" s="310">
        <v>59300</v>
      </c>
      <c r="J127" s="310" t="s">
        <v>729</v>
      </c>
      <c r="K127" s="310" t="s">
        <v>760</v>
      </c>
      <c r="L127" s="310" t="s">
        <v>761</v>
      </c>
      <c r="M127" s="310" t="s">
        <v>732</v>
      </c>
      <c r="N127" s="310" t="s">
        <v>733</v>
      </c>
      <c r="O127" s="310" t="s">
        <v>734</v>
      </c>
      <c r="P127" s="310"/>
      <c r="Q127" s="310" t="s">
        <v>735</v>
      </c>
      <c r="R127" s="310" t="s">
        <v>786</v>
      </c>
      <c r="S127" s="310" t="s">
        <v>787</v>
      </c>
      <c r="T127" s="310">
        <v>34.746667000000002</v>
      </c>
      <c r="U127" s="310">
        <v>-106.654444</v>
      </c>
      <c r="V127" s="310"/>
      <c r="W127" s="311">
        <v>1</v>
      </c>
      <c r="X127" s="311">
        <v>1</v>
      </c>
      <c r="Y127" s="310" t="s">
        <v>826</v>
      </c>
      <c r="Z127" s="310" t="s">
        <v>827</v>
      </c>
      <c r="AA127" s="310"/>
      <c r="AB127" s="312">
        <v>0.23830999999999999</v>
      </c>
      <c r="AC127" s="313">
        <v>8.4</v>
      </c>
      <c r="AD127" s="312"/>
      <c r="AE127" s="310"/>
      <c r="AF127" s="310"/>
      <c r="AG127" s="311"/>
      <c r="AH127" s="311"/>
      <c r="AI127" s="312"/>
      <c r="AJ127" s="310"/>
      <c r="AK127" s="314"/>
      <c r="AL127" s="314"/>
      <c r="AM127" s="314">
        <v>59831</v>
      </c>
      <c r="AN127" s="314">
        <v>27994</v>
      </c>
      <c r="AO127" s="314">
        <v>17536</v>
      </c>
      <c r="AP127" s="314">
        <v>8205</v>
      </c>
      <c r="AQ127" s="314"/>
      <c r="AR127" s="314"/>
      <c r="AS127" s="314"/>
      <c r="AT127" s="314"/>
      <c r="AU127" s="314"/>
      <c r="AV127" s="314"/>
      <c r="AW127" s="314"/>
      <c r="AX127" s="314"/>
      <c r="AY127" s="315"/>
      <c r="AZ127" s="315"/>
      <c r="BA127" s="315"/>
      <c r="BB127" s="315"/>
      <c r="BC127" s="315"/>
      <c r="BD127" s="315"/>
      <c r="BE127" s="315"/>
      <c r="BF127" s="315"/>
      <c r="BG127" s="315"/>
      <c r="BH127" s="315"/>
      <c r="BI127" s="315"/>
      <c r="BJ127" s="315"/>
      <c r="BK127" s="315"/>
      <c r="BL127" s="315"/>
      <c r="BM127" s="315"/>
      <c r="BN127" s="315"/>
      <c r="BO127" s="315"/>
      <c r="BP127" s="315"/>
      <c r="BQ127" s="315"/>
      <c r="BR127" s="315"/>
      <c r="BS127" s="315"/>
      <c r="BT127" s="315"/>
      <c r="BU127" s="315"/>
      <c r="BV127" s="315"/>
      <c r="BW127" s="311"/>
      <c r="BX127" s="311"/>
      <c r="BY127" s="311"/>
      <c r="BZ127" s="311"/>
      <c r="CA127" s="311"/>
      <c r="CB127" s="311"/>
      <c r="CC127" s="311"/>
      <c r="CD127" s="311"/>
      <c r="CE127" s="311"/>
      <c r="CF127" s="311"/>
      <c r="CG127" s="311"/>
      <c r="CH127" s="310">
        <v>59831</v>
      </c>
      <c r="CI127" s="310">
        <v>27994</v>
      </c>
      <c r="CJ127" s="310"/>
      <c r="CK127" s="310"/>
      <c r="CL127" s="310"/>
      <c r="CM127" s="310"/>
      <c r="CN127" s="310"/>
      <c r="CO127" s="310"/>
      <c r="CP127" s="310"/>
      <c r="CQ127" s="311" t="s">
        <v>744</v>
      </c>
      <c r="CR127" s="311" t="s">
        <v>742</v>
      </c>
      <c r="CS127" s="311" t="s">
        <v>742</v>
      </c>
      <c r="CT127" s="311"/>
      <c r="CU127" s="311"/>
      <c r="CV127" s="311"/>
      <c r="CW127" s="311"/>
      <c r="CX127" s="311"/>
      <c r="CY127" s="311"/>
      <c r="CZ127" s="311"/>
      <c r="DA127" s="311"/>
      <c r="DB127" s="311"/>
      <c r="DC127" s="311"/>
      <c r="DD127" s="311"/>
      <c r="DE127" s="316"/>
      <c r="DF127" s="314"/>
      <c r="DG127" s="314"/>
      <c r="DH127" s="314"/>
      <c r="DI127" s="314"/>
      <c r="DJ127" s="314"/>
      <c r="DK127" s="314">
        <v>0</v>
      </c>
      <c r="DL127" s="314">
        <v>0</v>
      </c>
      <c r="DM127" s="314">
        <v>0</v>
      </c>
      <c r="DN127" s="314">
        <v>0</v>
      </c>
      <c r="DO127" s="314">
        <v>0</v>
      </c>
      <c r="DP127" s="314">
        <v>0</v>
      </c>
      <c r="DQ127" s="314">
        <v>0</v>
      </c>
      <c r="DR127" s="314">
        <v>17536</v>
      </c>
      <c r="DS127" s="314">
        <v>0</v>
      </c>
      <c r="DT127" s="314">
        <v>0</v>
      </c>
      <c r="DU127" s="314">
        <v>0</v>
      </c>
      <c r="DV127" s="314">
        <v>0</v>
      </c>
      <c r="DW127" s="314">
        <v>17536</v>
      </c>
      <c r="DX127" s="314">
        <v>0</v>
      </c>
      <c r="DY127" s="314">
        <v>17536</v>
      </c>
      <c r="DZ127" s="314">
        <v>0</v>
      </c>
      <c r="EA127" s="314">
        <v>17536</v>
      </c>
      <c r="EB127" s="314">
        <v>0</v>
      </c>
      <c r="EC127" s="317">
        <v>0</v>
      </c>
      <c r="ED127" s="317">
        <v>0</v>
      </c>
      <c r="EE127" s="317">
        <v>0</v>
      </c>
      <c r="EF127" s="317">
        <v>0</v>
      </c>
      <c r="EG127" s="317">
        <v>0</v>
      </c>
      <c r="EH127" s="317">
        <v>0</v>
      </c>
      <c r="EI127" s="317">
        <v>0</v>
      </c>
      <c r="EJ127" s="317">
        <v>1</v>
      </c>
      <c r="EK127" s="317">
        <v>0</v>
      </c>
      <c r="EL127" s="317">
        <v>0</v>
      </c>
      <c r="EM127" s="317">
        <v>0</v>
      </c>
      <c r="EN127" s="317">
        <v>0</v>
      </c>
      <c r="EO127" s="317">
        <v>1</v>
      </c>
      <c r="EP127" s="317">
        <v>0</v>
      </c>
      <c r="EQ127" s="317">
        <v>1</v>
      </c>
      <c r="ER127" s="317">
        <v>0</v>
      </c>
      <c r="ES127" s="317">
        <v>1</v>
      </c>
      <c r="ET127" s="317">
        <v>0</v>
      </c>
    </row>
    <row r="128" spans="1:150" x14ac:dyDescent="0.25">
      <c r="A128" s="310">
        <v>8447</v>
      </c>
      <c r="B128" s="310">
        <v>2023</v>
      </c>
      <c r="C128" s="310" t="s">
        <v>10</v>
      </c>
      <c r="D128" s="310" t="s">
        <v>963</v>
      </c>
      <c r="E128" s="310">
        <v>59618</v>
      </c>
      <c r="F128" s="310" t="s">
        <v>759</v>
      </c>
      <c r="G128" s="310">
        <v>15473</v>
      </c>
      <c r="H128" s="310" t="s">
        <v>823</v>
      </c>
      <c r="I128" s="310">
        <v>59300</v>
      </c>
      <c r="J128" s="310" t="s">
        <v>729</v>
      </c>
      <c r="K128" s="310" t="s">
        <v>760</v>
      </c>
      <c r="L128" s="310" t="s">
        <v>761</v>
      </c>
      <c r="M128" s="310" t="s">
        <v>732</v>
      </c>
      <c r="N128" s="310" t="s">
        <v>733</v>
      </c>
      <c r="O128" s="310" t="s">
        <v>734</v>
      </c>
      <c r="P128" s="310"/>
      <c r="Q128" s="310" t="s">
        <v>735</v>
      </c>
      <c r="R128" s="310" t="s">
        <v>786</v>
      </c>
      <c r="S128" s="310" t="s">
        <v>787</v>
      </c>
      <c r="T128" s="310">
        <v>34.81</v>
      </c>
      <c r="U128" s="310">
        <v>-106.52</v>
      </c>
      <c r="V128" s="310"/>
      <c r="W128" s="311">
        <v>1</v>
      </c>
      <c r="X128" s="311">
        <v>1</v>
      </c>
      <c r="Y128" s="310" t="s">
        <v>826</v>
      </c>
      <c r="Z128" s="310" t="s">
        <v>827</v>
      </c>
      <c r="AA128" s="310"/>
      <c r="AB128" s="312">
        <v>0.30270000000000002</v>
      </c>
      <c r="AC128" s="313">
        <v>9.1</v>
      </c>
      <c r="AD128" s="312"/>
      <c r="AE128" s="310"/>
      <c r="AF128" s="310"/>
      <c r="AG128" s="311"/>
      <c r="AH128" s="311"/>
      <c r="AI128" s="312"/>
      <c r="AJ128" s="310"/>
      <c r="AK128" s="314"/>
      <c r="AL128" s="314"/>
      <c r="AM128" s="314">
        <v>82330</v>
      </c>
      <c r="AN128" s="314">
        <v>42519</v>
      </c>
      <c r="AO128" s="314">
        <v>24130</v>
      </c>
      <c r="AP128" s="314">
        <v>12462</v>
      </c>
      <c r="AQ128" s="314"/>
      <c r="AR128" s="314"/>
      <c r="AS128" s="314"/>
      <c r="AT128" s="314"/>
      <c r="AU128" s="314"/>
      <c r="AV128" s="314"/>
      <c r="AW128" s="314"/>
      <c r="AX128" s="314"/>
      <c r="AY128" s="315"/>
      <c r="AZ128" s="315"/>
      <c r="BA128" s="315"/>
      <c r="BB128" s="315"/>
      <c r="BC128" s="315"/>
      <c r="BD128" s="315"/>
      <c r="BE128" s="315"/>
      <c r="BF128" s="315"/>
      <c r="BG128" s="315"/>
      <c r="BH128" s="315"/>
      <c r="BI128" s="315"/>
      <c r="BJ128" s="315"/>
      <c r="BK128" s="315"/>
      <c r="BL128" s="315"/>
      <c r="BM128" s="315"/>
      <c r="BN128" s="315"/>
      <c r="BO128" s="315"/>
      <c r="BP128" s="315"/>
      <c r="BQ128" s="315"/>
      <c r="BR128" s="315"/>
      <c r="BS128" s="315"/>
      <c r="BT128" s="315"/>
      <c r="BU128" s="315"/>
      <c r="BV128" s="315"/>
      <c r="BW128" s="311"/>
      <c r="BX128" s="311"/>
      <c r="BY128" s="311"/>
      <c r="BZ128" s="311"/>
      <c r="CA128" s="311"/>
      <c r="CB128" s="311"/>
      <c r="CC128" s="311"/>
      <c r="CD128" s="311"/>
      <c r="CE128" s="311"/>
      <c r="CF128" s="311"/>
      <c r="CG128" s="311"/>
      <c r="CH128" s="310">
        <v>82330</v>
      </c>
      <c r="CI128" s="310">
        <v>42519</v>
      </c>
      <c r="CJ128" s="310"/>
      <c r="CK128" s="310"/>
      <c r="CL128" s="310"/>
      <c r="CM128" s="310"/>
      <c r="CN128" s="310"/>
      <c r="CO128" s="310"/>
      <c r="CP128" s="310"/>
      <c r="CQ128" s="311" t="s">
        <v>744</v>
      </c>
      <c r="CR128" s="311" t="s">
        <v>742</v>
      </c>
      <c r="CS128" s="311" t="s">
        <v>742</v>
      </c>
      <c r="CT128" s="311"/>
      <c r="CU128" s="311"/>
      <c r="CV128" s="311"/>
      <c r="CW128" s="311"/>
      <c r="CX128" s="311"/>
      <c r="CY128" s="311"/>
      <c r="CZ128" s="311"/>
      <c r="DA128" s="311"/>
      <c r="DB128" s="311"/>
      <c r="DC128" s="311"/>
      <c r="DD128" s="311"/>
      <c r="DE128" s="316"/>
      <c r="DF128" s="314"/>
      <c r="DG128" s="314"/>
      <c r="DH128" s="314"/>
      <c r="DI128" s="314"/>
      <c r="DJ128" s="314"/>
      <c r="DK128" s="314">
        <v>0</v>
      </c>
      <c r="DL128" s="314">
        <v>0</v>
      </c>
      <c r="DM128" s="314">
        <v>0</v>
      </c>
      <c r="DN128" s="314">
        <v>0</v>
      </c>
      <c r="DO128" s="314">
        <v>0</v>
      </c>
      <c r="DP128" s="314">
        <v>0</v>
      </c>
      <c r="DQ128" s="314">
        <v>0</v>
      </c>
      <c r="DR128" s="314">
        <v>24130</v>
      </c>
      <c r="DS128" s="314">
        <v>0</v>
      </c>
      <c r="DT128" s="314">
        <v>0</v>
      </c>
      <c r="DU128" s="314">
        <v>0</v>
      </c>
      <c r="DV128" s="314">
        <v>0</v>
      </c>
      <c r="DW128" s="314">
        <v>24130</v>
      </c>
      <c r="DX128" s="314">
        <v>0</v>
      </c>
      <c r="DY128" s="314">
        <v>24130</v>
      </c>
      <c r="DZ128" s="314">
        <v>0</v>
      </c>
      <c r="EA128" s="314">
        <v>24130</v>
      </c>
      <c r="EB128" s="314">
        <v>0</v>
      </c>
      <c r="EC128" s="317">
        <v>0</v>
      </c>
      <c r="ED128" s="317">
        <v>0</v>
      </c>
      <c r="EE128" s="317">
        <v>0</v>
      </c>
      <c r="EF128" s="317">
        <v>0</v>
      </c>
      <c r="EG128" s="317">
        <v>0</v>
      </c>
      <c r="EH128" s="317">
        <v>0</v>
      </c>
      <c r="EI128" s="317">
        <v>0</v>
      </c>
      <c r="EJ128" s="317">
        <v>1</v>
      </c>
      <c r="EK128" s="317">
        <v>0</v>
      </c>
      <c r="EL128" s="317">
        <v>0</v>
      </c>
      <c r="EM128" s="317">
        <v>0</v>
      </c>
      <c r="EN128" s="317">
        <v>0</v>
      </c>
      <c r="EO128" s="317">
        <v>1</v>
      </c>
      <c r="EP128" s="317">
        <v>0</v>
      </c>
      <c r="EQ128" s="317">
        <v>1</v>
      </c>
      <c r="ER128" s="317">
        <v>0</v>
      </c>
      <c r="ES128" s="317">
        <v>1</v>
      </c>
      <c r="ET128" s="317">
        <v>0</v>
      </c>
    </row>
    <row r="129" spans="1:150" x14ac:dyDescent="0.25">
      <c r="A129" s="310">
        <v>8448</v>
      </c>
      <c r="B129" s="310">
        <v>2023</v>
      </c>
      <c r="C129" s="310" t="s">
        <v>10</v>
      </c>
      <c r="D129" s="310" t="s">
        <v>964</v>
      </c>
      <c r="E129" s="310">
        <v>57106</v>
      </c>
      <c r="F129" s="310" t="s">
        <v>746</v>
      </c>
      <c r="G129" s="310">
        <v>17718</v>
      </c>
      <c r="H129" s="310" t="s">
        <v>965</v>
      </c>
      <c r="I129" s="310">
        <v>56410</v>
      </c>
      <c r="J129" s="310" t="s">
        <v>966</v>
      </c>
      <c r="K129" s="310" t="s">
        <v>749</v>
      </c>
      <c r="L129" s="310" t="s">
        <v>750</v>
      </c>
      <c r="M129" s="310" t="s">
        <v>751</v>
      </c>
      <c r="N129" s="310" t="s">
        <v>752</v>
      </c>
      <c r="O129" s="310" t="s">
        <v>753</v>
      </c>
      <c r="P129" s="310"/>
      <c r="Q129" s="310" t="s">
        <v>735</v>
      </c>
      <c r="R129" s="310" t="s">
        <v>789</v>
      </c>
      <c r="S129" s="310" t="s">
        <v>790</v>
      </c>
      <c r="T129" s="310">
        <v>35.17</v>
      </c>
      <c r="U129" s="310">
        <v>-103.74</v>
      </c>
      <c r="V129" s="310"/>
      <c r="W129" s="311">
        <v>1</v>
      </c>
      <c r="X129" s="311">
        <v>1</v>
      </c>
      <c r="Y129" s="310" t="s">
        <v>840</v>
      </c>
      <c r="Z129" s="310" t="s">
        <v>841</v>
      </c>
      <c r="AA129" s="310"/>
      <c r="AB129" s="312">
        <v>0.11393</v>
      </c>
      <c r="AC129" s="313">
        <v>1.5</v>
      </c>
      <c r="AD129" s="312"/>
      <c r="AE129" s="310"/>
      <c r="AF129" s="310"/>
      <c r="AG129" s="311"/>
      <c r="AH129" s="311"/>
      <c r="AI129" s="312"/>
      <c r="AJ129" s="310"/>
      <c r="AK129" s="314"/>
      <c r="AL129" s="314"/>
      <c r="AM129" s="314">
        <v>5108</v>
      </c>
      <c r="AN129" s="314">
        <v>836</v>
      </c>
      <c r="AO129" s="314">
        <v>1497</v>
      </c>
      <c r="AP129" s="314">
        <v>245</v>
      </c>
      <c r="AQ129" s="314"/>
      <c r="AR129" s="314"/>
      <c r="AS129" s="314"/>
      <c r="AT129" s="314"/>
      <c r="AU129" s="314"/>
      <c r="AV129" s="314"/>
      <c r="AW129" s="314"/>
      <c r="AX129" s="314"/>
      <c r="AY129" s="315"/>
      <c r="AZ129" s="315"/>
      <c r="BA129" s="315"/>
      <c r="BB129" s="315"/>
      <c r="BC129" s="315"/>
      <c r="BD129" s="315"/>
      <c r="BE129" s="315"/>
      <c r="BF129" s="315"/>
      <c r="BG129" s="315"/>
      <c r="BH129" s="315"/>
      <c r="BI129" s="315"/>
      <c r="BJ129" s="315"/>
      <c r="BK129" s="315"/>
      <c r="BL129" s="315"/>
      <c r="BM129" s="315"/>
      <c r="BN129" s="315"/>
      <c r="BO129" s="315"/>
      <c r="BP129" s="315"/>
      <c r="BQ129" s="315"/>
      <c r="BR129" s="315"/>
      <c r="BS129" s="315"/>
      <c r="BT129" s="315"/>
      <c r="BU129" s="315"/>
      <c r="BV129" s="315"/>
      <c r="BW129" s="311"/>
      <c r="BX129" s="311"/>
      <c r="BY129" s="311"/>
      <c r="BZ129" s="311"/>
      <c r="CA129" s="311"/>
      <c r="CB129" s="311"/>
      <c r="CC129" s="311"/>
      <c r="CD129" s="311"/>
      <c r="CE129" s="311"/>
      <c r="CF129" s="311"/>
      <c r="CG129" s="311"/>
      <c r="CH129" s="310">
        <v>5108</v>
      </c>
      <c r="CI129" s="310">
        <v>836</v>
      </c>
      <c r="CJ129" s="310"/>
      <c r="CK129" s="310"/>
      <c r="CL129" s="310"/>
      <c r="CM129" s="310"/>
      <c r="CN129" s="310"/>
      <c r="CO129" s="310"/>
      <c r="CP129" s="310"/>
      <c r="CQ129" s="311" t="s">
        <v>744</v>
      </c>
      <c r="CR129" s="311" t="s">
        <v>742</v>
      </c>
      <c r="CS129" s="311" t="s">
        <v>742</v>
      </c>
      <c r="CT129" s="311"/>
      <c r="CU129" s="311"/>
      <c r="CV129" s="311"/>
      <c r="CW129" s="311"/>
      <c r="CX129" s="311"/>
      <c r="CY129" s="311"/>
      <c r="CZ129" s="311"/>
      <c r="DA129" s="311"/>
      <c r="DB129" s="311"/>
      <c r="DC129" s="311"/>
      <c r="DD129" s="311"/>
      <c r="DE129" s="316"/>
      <c r="DF129" s="314"/>
      <c r="DG129" s="314"/>
      <c r="DH129" s="314"/>
      <c r="DI129" s="314"/>
      <c r="DJ129" s="314"/>
      <c r="DK129" s="314">
        <v>0</v>
      </c>
      <c r="DL129" s="314">
        <v>0</v>
      </c>
      <c r="DM129" s="314">
        <v>0</v>
      </c>
      <c r="DN129" s="314">
        <v>0</v>
      </c>
      <c r="DO129" s="314">
        <v>0</v>
      </c>
      <c r="DP129" s="314">
        <v>0</v>
      </c>
      <c r="DQ129" s="314">
        <v>1497</v>
      </c>
      <c r="DR129" s="314">
        <v>0</v>
      </c>
      <c r="DS129" s="314">
        <v>0</v>
      </c>
      <c r="DT129" s="314">
        <v>0</v>
      </c>
      <c r="DU129" s="314">
        <v>0</v>
      </c>
      <c r="DV129" s="314">
        <v>0</v>
      </c>
      <c r="DW129" s="314">
        <v>1497</v>
      </c>
      <c r="DX129" s="314">
        <v>0</v>
      </c>
      <c r="DY129" s="314">
        <v>1497</v>
      </c>
      <c r="DZ129" s="314">
        <v>0</v>
      </c>
      <c r="EA129" s="314">
        <v>1497</v>
      </c>
      <c r="EB129" s="314">
        <v>0</v>
      </c>
      <c r="EC129" s="317">
        <v>0</v>
      </c>
      <c r="ED129" s="317">
        <v>0</v>
      </c>
      <c r="EE129" s="317">
        <v>0</v>
      </c>
      <c r="EF129" s="317">
        <v>0</v>
      </c>
      <c r="EG129" s="317">
        <v>0</v>
      </c>
      <c r="EH129" s="317">
        <v>0</v>
      </c>
      <c r="EI129" s="317">
        <v>1</v>
      </c>
      <c r="EJ129" s="317">
        <v>0</v>
      </c>
      <c r="EK129" s="317">
        <v>0</v>
      </c>
      <c r="EL129" s="317">
        <v>0</v>
      </c>
      <c r="EM129" s="317">
        <v>0</v>
      </c>
      <c r="EN129" s="317">
        <v>0</v>
      </c>
      <c r="EO129" s="317">
        <v>1</v>
      </c>
      <c r="EP129" s="317">
        <v>0</v>
      </c>
      <c r="EQ129" s="317">
        <v>1</v>
      </c>
      <c r="ER129" s="317">
        <v>0</v>
      </c>
      <c r="ES129" s="317">
        <v>1</v>
      </c>
      <c r="ET129" s="317">
        <v>0</v>
      </c>
    </row>
    <row r="130" spans="1:150" x14ac:dyDescent="0.25">
      <c r="A130" s="310">
        <v>8449</v>
      </c>
      <c r="B130" s="310">
        <v>2023</v>
      </c>
      <c r="C130" s="310" t="s">
        <v>10</v>
      </c>
      <c r="D130" s="310" t="s">
        <v>967</v>
      </c>
      <c r="E130" s="310">
        <v>61681</v>
      </c>
      <c r="F130" s="310" t="s">
        <v>798</v>
      </c>
      <c r="G130" s="310">
        <v>10817</v>
      </c>
      <c r="H130" s="310" t="s">
        <v>968</v>
      </c>
      <c r="I130" s="310">
        <v>60584</v>
      </c>
      <c r="J130" s="310" t="s">
        <v>748</v>
      </c>
      <c r="K130" s="310" t="s">
        <v>749</v>
      </c>
      <c r="L130" s="310" t="s">
        <v>750</v>
      </c>
      <c r="M130" s="310" t="s">
        <v>751</v>
      </c>
      <c r="N130" s="310" t="s">
        <v>752</v>
      </c>
      <c r="O130" s="310" t="s">
        <v>753</v>
      </c>
      <c r="P130" s="310"/>
      <c r="Q130" s="310" t="s">
        <v>735</v>
      </c>
      <c r="R130" s="310" t="s">
        <v>754</v>
      </c>
      <c r="S130" s="310" t="s">
        <v>755</v>
      </c>
      <c r="T130" s="310">
        <v>32.978636000000002</v>
      </c>
      <c r="U130" s="310">
        <v>-103.371284</v>
      </c>
      <c r="V130" s="310"/>
      <c r="W130" s="311">
        <v>1</v>
      </c>
      <c r="X130" s="311">
        <v>1</v>
      </c>
      <c r="Y130" s="310" t="s">
        <v>826</v>
      </c>
      <c r="Z130" s="310" t="s">
        <v>827</v>
      </c>
      <c r="AA130" s="310"/>
      <c r="AB130" s="312">
        <v>0.16558999999999999</v>
      </c>
      <c r="AC130" s="313">
        <v>5</v>
      </c>
      <c r="AD130" s="312"/>
      <c r="AE130" s="310"/>
      <c r="AF130" s="310"/>
      <c r="AG130" s="311"/>
      <c r="AH130" s="311"/>
      <c r="AI130" s="312"/>
      <c r="AJ130" s="310"/>
      <c r="AK130" s="314"/>
      <c r="AL130" s="314"/>
      <c r="AM130" s="314">
        <v>24749</v>
      </c>
      <c r="AN130" s="314">
        <v>11602</v>
      </c>
      <c r="AO130" s="314">
        <v>7253</v>
      </c>
      <c r="AP130" s="314">
        <v>3400</v>
      </c>
      <c r="AQ130" s="314"/>
      <c r="AR130" s="314"/>
      <c r="AS130" s="314"/>
      <c r="AT130" s="314"/>
      <c r="AU130" s="314"/>
      <c r="AV130" s="314"/>
      <c r="AW130" s="314"/>
      <c r="AX130" s="314"/>
      <c r="AY130" s="315"/>
      <c r="AZ130" s="315"/>
      <c r="BA130" s="315"/>
      <c r="BB130" s="315"/>
      <c r="BC130" s="315"/>
      <c r="BD130" s="315"/>
      <c r="BE130" s="315"/>
      <c r="BF130" s="315"/>
      <c r="BG130" s="315"/>
      <c r="BH130" s="315"/>
      <c r="BI130" s="315"/>
      <c r="BJ130" s="315"/>
      <c r="BK130" s="315"/>
      <c r="BL130" s="315"/>
      <c r="BM130" s="315"/>
      <c r="BN130" s="315"/>
      <c r="BO130" s="315"/>
      <c r="BP130" s="315"/>
      <c r="BQ130" s="315"/>
      <c r="BR130" s="315"/>
      <c r="BS130" s="315"/>
      <c r="BT130" s="315"/>
      <c r="BU130" s="315"/>
      <c r="BV130" s="315"/>
      <c r="BW130" s="311"/>
      <c r="BX130" s="311"/>
      <c r="BY130" s="311"/>
      <c r="BZ130" s="311"/>
      <c r="CA130" s="311"/>
      <c r="CB130" s="311"/>
      <c r="CC130" s="311"/>
      <c r="CD130" s="311"/>
      <c r="CE130" s="311"/>
      <c r="CF130" s="311"/>
      <c r="CG130" s="311"/>
      <c r="CH130" s="310">
        <v>24749</v>
      </c>
      <c r="CI130" s="310">
        <v>11602</v>
      </c>
      <c r="CJ130" s="310"/>
      <c r="CK130" s="310"/>
      <c r="CL130" s="310"/>
      <c r="CM130" s="310"/>
      <c r="CN130" s="310"/>
      <c r="CO130" s="310"/>
      <c r="CP130" s="310"/>
      <c r="CQ130" s="311" t="s">
        <v>744</v>
      </c>
      <c r="CR130" s="311" t="s">
        <v>742</v>
      </c>
      <c r="CS130" s="311" t="s">
        <v>742</v>
      </c>
      <c r="CT130" s="311"/>
      <c r="CU130" s="311"/>
      <c r="CV130" s="311"/>
      <c r="CW130" s="311"/>
      <c r="CX130" s="311"/>
      <c r="CY130" s="311"/>
      <c r="CZ130" s="311"/>
      <c r="DA130" s="311"/>
      <c r="DB130" s="311"/>
      <c r="DC130" s="311"/>
      <c r="DD130" s="311"/>
      <c r="DE130" s="316"/>
      <c r="DF130" s="314"/>
      <c r="DG130" s="314"/>
      <c r="DH130" s="314"/>
      <c r="DI130" s="314"/>
      <c r="DJ130" s="314"/>
      <c r="DK130" s="314">
        <v>0</v>
      </c>
      <c r="DL130" s="314">
        <v>0</v>
      </c>
      <c r="DM130" s="314">
        <v>0</v>
      </c>
      <c r="DN130" s="314">
        <v>0</v>
      </c>
      <c r="DO130" s="314">
        <v>0</v>
      </c>
      <c r="DP130" s="314">
        <v>0</v>
      </c>
      <c r="DQ130" s="314">
        <v>0</v>
      </c>
      <c r="DR130" s="314">
        <v>7253</v>
      </c>
      <c r="DS130" s="314">
        <v>0</v>
      </c>
      <c r="DT130" s="314">
        <v>0</v>
      </c>
      <c r="DU130" s="314">
        <v>0</v>
      </c>
      <c r="DV130" s="314">
        <v>0</v>
      </c>
      <c r="DW130" s="314">
        <v>7253</v>
      </c>
      <c r="DX130" s="314">
        <v>0</v>
      </c>
      <c r="DY130" s="314">
        <v>7253</v>
      </c>
      <c r="DZ130" s="314">
        <v>0</v>
      </c>
      <c r="EA130" s="314">
        <v>7253</v>
      </c>
      <c r="EB130" s="314">
        <v>0</v>
      </c>
      <c r="EC130" s="317">
        <v>0</v>
      </c>
      <c r="ED130" s="317">
        <v>0</v>
      </c>
      <c r="EE130" s="317">
        <v>0</v>
      </c>
      <c r="EF130" s="317">
        <v>0</v>
      </c>
      <c r="EG130" s="317">
        <v>0</v>
      </c>
      <c r="EH130" s="317">
        <v>0</v>
      </c>
      <c r="EI130" s="317">
        <v>0</v>
      </c>
      <c r="EJ130" s="317">
        <v>1</v>
      </c>
      <c r="EK130" s="317">
        <v>0</v>
      </c>
      <c r="EL130" s="317">
        <v>0</v>
      </c>
      <c r="EM130" s="317">
        <v>0</v>
      </c>
      <c r="EN130" s="317">
        <v>0</v>
      </c>
      <c r="EO130" s="317">
        <v>1</v>
      </c>
      <c r="EP130" s="317">
        <v>0</v>
      </c>
      <c r="EQ130" s="317">
        <v>1</v>
      </c>
      <c r="ER130" s="317">
        <v>0</v>
      </c>
      <c r="ES130" s="317">
        <v>1</v>
      </c>
      <c r="ET130" s="317">
        <v>0</v>
      </c>
    </row>
    <row r="131" spans="1:150" x14ac:dyDescent="0.25">
      <c r="A131" s="310">
        <v>8450</v>
      </c>
      <c r="B131" s="310">
        <v>2023</v>
      </c>
      <c r="C131" s="310" t="s">
        <v>10</v>
      </c>
      <c r="D131" s="310" t="s">
        <v>969</v>
      </c>
      <c r="E131" s="310">
        <v>59838</v>
      </c>
      <c r="F131" s="310" t="s">
        <v>746</v>
      </c>
      <c r="G131" s="310">
        <v>17718</v>
      </c>
      <c r="H131" s="310" t="s">
        <v>970</v>
      </c>
      <c r="I131" s="310">
        <v>66100</v>
      </c>
      <c r="J131" s="310" t="s">
        <v>748</v>
      </c>
      <c r="K131" s="310" t="s">
        <v>749</v>
      </c>
      <c r="L131" s="310" t="s">
        <v>750</v>
      </c>
      <c r="M131" s="310" t="s">
        <v>751</v>
      </c>
      <c r="N131" s="310" t="s">
        <v>752</v>
      </c>
      <c r="O131" s="310" t="s">
        <v>753</v>
      </c>
      <c r="P131" s="310"/>
      <c r="Q131" s="310" t="s">
        <v>735</v>
      </c>
      <c r="R131" s="310" t="s">
        <v>971</v>
      </c>
      <c r="S131" s="310" t="s">
        <v>972</v>
      </c>
      <c r="T131" s="310">
        <v>33.901781</v>
      </c>
      <c r="U131" s="310">
        <v>-103.34675</v>
      </c>
      <c r="V131" s="310"/>
      <c r="W131" s="311">
        <v>1</v>
      </c>
      <c r="X131" s="311">
        <v>1</v>
      </c>
      <c r="Y131" s="310" t="s">
        <v>840</v>
      </c>
      <c r="Z131" s="310" t="s">
        <v>841</v>
      </c>
      <c r="AA131" s="310"/>
      <c r="AB131" s="312">
        <v>0.45800999999999997</v>
      </c>
      <c r="AC131" s="313">
        <v>50</v>
      </c>
      <c r="AD131" s="312"/>
      <c r="AE131" s="310"/>
      <c r="AF131" s="310"/>
      <c r="AG131" s="311"/>
      <c r="AH131" s="311"/>
      <c r="AI131" s="312"/>
      <c r="AJ131" s="310"/>
      <c r="AK131" s="314"/>
      <c r="AL131" s="314"/>
      <c r="AM131" s="314">
        <v>684474</v>
      </c>
      <c r="AN131" s="314">
        <v>247919</v>
      </c>
      <c r="AO131" s="314">
        <v>200608</v>
      </c>
      <c r="AP131" s="314">
        <v>72661</v>
      </c>
      <c r="AQ131" s="314"/>
      <c r="AR131" s="314"/>
      <c r="AS131" s="314"/>
      <c r="AT131" s="314"/>
      <c r="AU131" s="314"/>
      <c r="AV131" s="314"/>
      <c r="AW131" s="314"/>
      <c r="AX131" s="314"/>
      <c r="AY131" s="315"/>
      <c r="AZ131" s="315"/>
      <c r="BA131" s="315"/>
      <c r="BB131" s="315"/>
      <c r="BC131" s="315"/>
      <c r="BD131" s="315"/>
      <c r="BE131" s="315"/>
      <c r="BF131" s="315"/>
      <c r="BG131" s="315"/>
      <c r="BH131" s="315"/>
      <c r="BI131" s="315"/>
      <c r="BJ131" s="315"/>
      <c r="BK131" s="315"/>
      <c r="BL131" s="315"/>
      <c r="BM131" s="315"/>
      <c r="BN131" s="315"/>
      <c r="BO131" s="315"/>
      <c r="BP131" s="315"/>
      <c r="BQ131" s="315"/>
      <c r="BR131" s="315"/>
      <c r="BS131" s="315"/>
      <c r="BT131" s="315"/>
      <c r="BU131" s="315"/>
      <c r="BV131" s="315"/>
      <c r="BW131" s="311"/>
      <c r="BX131" s="311"/>
      <c r="BY131" s="311"/>
      <c r="BZ131" s="311"/>
      <c r="CA131" s="311"/>
      <c r="CB131" s="311"/>
      <c r="CC131" s="311"/>
      <c r="CD131" s="311"/>
      <c r="CE131" s="311"/>
      <c r="CF131" s="311"/>
      <c r="CG131" s="311"/>
      <c r="CH131" s="310">
        <v>684474</v>
      </c>
      <c r="CI131" s="310">
        <v>247919</v>
      </c>
      <c r="CJ131" s="310"/>
      <c r="CK131" s="310"/>
      <c r="CL131" s="310"/>
      <c r="CM131" s="310"/>
      <c r="CN131" s="310"/>
      <c r="CO131" s="310"/>
      <c r="CP131" s="310"/>
      <c r="CQ131" s="311" t="s">
        <v>744</v>
      </c>
      <c r="CR131" s="311" t="s">
        <v>742</v>
      </c>
      <c r="CS131" s="311" t="s">
        <v>742</v>
      </c>
      <c r="CT131" s="311"/>
      <c r="CU131" s="311"/>
      <c r="CV131" s="311"/>
      <c r="CW131" s="311"/>
      <c r="CX131" s="311"/>
      <c r="CY131" s="311"/>
      <c r="CZ131" s="311"/>
      <c r="DA131" s="311"/>
      <c r="DB131" s="311"/>
      <c r="DC131" s="311"/>
      <c r="DD131" s="311"/>
      <c r="DE131" s="316"/>
      <c r="DF131" s="314"/>
      <c r="DG131" s="314"/>
      <c r="DH131" s="314"/>
      <c r="DI131" s="314"/>
      <c r="DJ131" s="314"/>
      <c r="DK131" s="314">
        <v>0</v>
      </c>
      <c r="DL131" s="314">
        <v>0</v>
      </c>
      <c r="DM131" s="314">
        <v>0</v>
      </c>
      <c r="DN131" s="314">
        <v>0</v>
      </c>
      <c r="DO131" s="314">
        <v>0</v>
      </c>
      <c r="DP131" s="314">
        <v>0</v>
      </c>
      <c r="DQ131" s="314">
        <v>200608</v>
      </c>
      <c r="DR131" s="314">
        <v>0</v>
      </c>
      <c r="DS131" s="314">
        <v>0</v>
      </c>
      <c r="DT131" s="314">
        <v>0</v>
      </c>
      <c r="DU131" s="314">
        <v>0</v>
      </c>
      <c r="DV131" s="314">
        <v>0</v>
      </c>
      <c r="DW131" s="314">
        <v>200608</v>
      </c>
      <c r="DX131" s="314">
        <v>0</v>
      </c>
      <c r="DY131" s="314">
        <v>200608</v>
      </c>
      <c r="DZ131" s="314">
        <v>0</v>
      </c>
      <c r="EA131" s="314">
        <v>200608</v>
      </c>
      <c r="EB131" s="314">
        <v>0</v>
      </c>
      <c r="EC131" s="317">
        <v>0</v>
      </c>
      <c r="ED131" s="317">
        <v>0</v>
      </c>
      <c r="EE131" s="317">
        <v>0</v>
      </c>
      <c r="EF131" s="317">
        <v>0</v>
      </c>
      <c r="EG131" s="317">
        <v>0</v>
      </c>
      <c r="EH131" s="317">
        <v>0</v>
      </c>
      <c r="EI131" s="317">
        <v>1</v>
      </c>
      <c r="EJ131" s="317">
        <v>0</v>
      </c>
      <c r="EK131" s="317">
        <v>0</v>
      </c>
      <c r="EL131" s="317">
        <v>0</v>
      </c>
      <c r="EM131" s="317">
        <v>0</v>
      </c>
      <c r="EN131" s="317">
        <v>0</v>
      </c>
      <c r="EO131" s="317">
        <v>1</v>
      </c>
      <c r="EP131" s="317">
        <v>0</v>
      </c>
      <c r="EQ131" s="317">
        <v>1</v>
      </c>
      <c r="ER131" s="317">
        <v>0</v>
      </c>
      <c r="ES131" s="317">
        <v>1</v>
      </c>
      <c r="ET131" s="317">
        <v>0</v>
      </c>
    </row>
    <row r="132" spans="1:150" x14ac:dyDescent="0.25">
      <c r="A132" s="310">
        <v>8451</v>
      </c>
      <c r="B132" s="310">
        <v>2023</v>
      </c>
      <c r="C132" s="310" t="s">
        <v>10</v>
      </c>
      <c r="D132" s="310" t="s">
        <v>973</v>
      </c>
      <c r="E132" s="310">
        <v>66287</v>
      </c>
      <c r="F132" s="310" t="s">
        <v>759</v>
      </c>
      <c r="G132" s="310">
        <v>15473</v>
      </c>
      <c r="H132" s="310" t="s">
        <v>973</v>
      </c>
      <c r="I132" s="310">
        <v>65399</v>
      </c>
      <c r="J132" s="310" t="s">
        <v>748</v>
      </c>
      <c r="K132" s="310" t="s">
        <v>760</v>
      </c>
      <c r="L132" s="310" t="s">
        <v>761</v>
      </c>
      <c r="M132" s="310" t="s">
        <v>732</v>
      </c>
      <c r="N132" s="310" t="s">
        <v>733</v>
      </c>
      <c r="O132" s="310" t="s">
        <v>734</v>
      </c>
      <c r="P132" s="310"/>
      <c r="Q132" s="310" t="s">
        <v>735</v>
      </c>
      <c r="R132" s="310" t="s">
        <v>832</v>
      </c>
      <c r="S132" s="310" t="s">
        <v>833</v>
      </c>
      <c r="T132" s="310">
        <v>35.370899999999999</v>
      </c>
      <c r="U132" s="310">
        <v>-106.854</v>
      </c>
      <c r="V132" s="310"/>
      <c r="W132" s="311">
        <v>1</v>
      </c>
      <c r="X132" s="311">
        <v>1</v>
      </c>
      <c r="Y132" s="310" t="s">
        <v>826</v>
      </c>
      <c r="Z132" s="310" t="s">
        <v>827</v>
      </c>
      <c r="AA132" s="310"/>
      <c r="AB132" s="312">
        <v>0.11615</v>
      </c>
      <c r="AC132" s="313">
        <v>50</v>
      </c>
      <c r="AD132" s="312"/>
      <c r="AE132" s="310"/>
      <c r="AF132" s="310"/>
      <c r="AG132" s="311"/>
      <c r="AH132" s="311"/>
      <c r="AI132" s="312"/>
      <c r="AJ132" s="310"/>
      <c r="AK132" s="314"/>
      <c r="AL132" s="314"/>
      <c r="AM132" s="314">
        <v>173576</v>
      </c>
      <c r="AN132" s="314">
        <v>80179</v>
      </c>
      <c r="AO132" s="314">
        <v>50872</v>
      </c>
      <c r="AP132" s="314">
        <v>23499</v>
      </c>
      <c r="AQ132" s="314"/>
      <c r="AR132" s="314"/>
      <c r="AS132" s="314"/>
      <c r="AT132" s="314"/>
      <c r="AU132" s="314"/>
      <c r="AV132" s="314"/>
      <c r="AW132" s="314"/>
      <c r="AX132" s="314"/>
      <c r="AY132" s="315"/>
      <c r="AZ132" s="315"/>
      <c r="BA132" s="315"/>
      <c r="BB132" s="315"/>
      <c r="BC132" s="315"/>
      <c r="BD132" s="315"/>
      <c r="BE132" s="315"/>
      <c r="BF132" s="315"/>
      <c r="BG132" s="315"/>
      <c r="BH132" s="315"/>
      <c r="BI132" s="315"/>
      <c r="BJ132" s="315"/>
      <c r="BK132" s="315"/>
      <c r="BL132" s="315"/>
      <c r="BM132" s="315"/>
      <c r="BN132" s="315"/>
      <c r="BO132" s="315"/>
      <c r="BP132" s="315"/>
      <c r="BQ132" s="315"/>
      <c r="BR132" s="315"/>
      <c r="BS132" s="315"/>
      <c r="BT132" s="315"/>
      <c r="BU132" s="315"/>
      <c r="BV132" s="315"/>
      <c r="BW132" s="311"/>
      <c r="BX132" s="311"/>
      <c r="BY132" s="311"/>
      <c r="BZ132" s="311"/>
      <c r="CA132" s="311"/>
      <c r="CB132" s="311"/>
      <c r="CC132" s="311"/>
      <c r="CD132" s="311"/>
      <c r="CE132" s="311"/>
      <c r="CF132" s="311"/>
      <c r="CG132" s="311"/>
      <c r="CH132" s="310">
        <v>173576</v>
      </c>
      <c r="CI132" s="310">
        <v>80179</v>
      </c>
      <c r="CJ132" s="310"/>
      <c r="CK132" s="310"/>
      <c r="CL132" s="310"/>
      <c r="CM132" s="310"/>
      <c r="CN132" s="310"/>
      <c r="CO132" s="310"/>
      <c r="CP132" s="310"/>
      <c r="CQ132" s="311" t="s">
        <v>744</v>
      </c>
      <c r="CR132" s="311" t="s">
        <v>742</v>
      </c>
      <c r="CS132" s="311" t="s">
        <v>742</v>
      </c>
      <c r="CT132" s="311"/>
      <c r="CU132" s="311"/>
      <c r="CV132" s="311"/>
      <c r="CW132" s="311"/>
      <c r="CX132" s="311"/>
      <c r="CY132" s="311"/>
      <c r="CZ132" s="311"/>
      <c r="DA132" s="311"/>
      <c r="DB132" s="311"/>
      <c r="DC132" s="311"/>
      <c r="DD132" s="311"/>
      <c r="DE132" s="316"/>
      <c r="DF132" s="314"/>
      <c r="DG132" s="314"/>
      <c r="DH132" s="314"/>
      <c r="DI132" s="314"/>
      <c r="DJ132" s="314"/>
      <c r="DK132" s="314">
        <v>0</v>
      </c>
      <c r="DL132" s="314">
        <v>0</v>
      </c>
      <c r="DM132" s="314">
        <v>0</v>
      </c>
      <c r="DN132" s="314">
        <v>0</v>
      </c>
      <c r="DO132" s="314">
        <v>0</v>
      </c>
      <c r="DP132" s="314">
        <v>0</v>
      </c>
      <c r="DQ132" s="314">
        <v>0</v>
      </c>
      <c r="DR132" s="314">
        <v>50872</v>
      </c>
      <c r="DS132" s="314">
        <v>0</v>
      </c>
      <c r="DT132" s="314">
        <v>0</v>
      </c>
      <c r="DU132" s="314">
        <v>0</v>
      </c>
      <c r="DV132" s="314">
        <v>0</v>
      </c>
      <c r="DW132" s="314">
        <v>50872</v>
      </c>
      <c r="DX132" s="314">
        <v>0</v>
      </c>
      <c r="DY132" s="314">
        <v>50872</v>
      </c>
      <c r="DZ132" s="314">
        <v>0</v>
      </c>
      <c r="EA132" s="314">
        <v>50872</v>
      </c>
      <c r="EB132" s="314">
        <v>0</v>
      </c>
      <c r="EC132" s="317">
        <v>0</v>
      </c>
      <c r="ED132" s="317">
        <v>0</v>
      </c>
      <c r="EE132" s="317">
        <v>0</v>
      </c>
      <c r="EF132" s="317">
        <v>0</v>
      </c>
      <c r="EG132" s="317">
        <v>0</v>
      </c>
      <c r="EH132" s="317">
        <v>0</v>
      </c>
      <c r="EI132" s="317">
        <v>0</v>
      </c>
      <c r="EJ132" s="317">
        <v>1</v>
      </c>
      <c r="EK132" s="317">
        <v>0</v>
      </c>
      <c r="EL132" s="317">
        <v>0</v>
      </c>
      <c r="EM132" s="317">
        <v>0</v>
      </c>
      <c r="EN132" s="317">
        <v>0</v>
      </c>
      <c r="EO132" s="317">
        <v>1</v>
      </c>
      <c r="EP132" s="317">
        <v>0</v>
      </c>
      <c r="EQ132" s="317">
        <v>1</v>
      </c>
      <c r="ER132" s="317">
        <v>0</v>
      </c>
      <c r="ES132" s="317">
        <v>1</v>
      </c>
      <c r="ET132" s="317">
        <v>0</v>
      </c>
    </row>
    <row r="133" spans="1:150" x14ac:dyDescent="0.25">
      <c r="A133" s="310">
        <v>8452</v>
      </c>
      <c r="B133" s="310">
        <v>2023</v>
      </c>
      <c r="C133" s="310" t="s">
        <v>10</v>
      </c>
      <c r="D133" s="310" t="s">
        <v>974</v>
      </c>
      <c r="E133" s="310">
        <v>64881</v>
      </c>
      <c r="F133" s="310" t="s">
        <v>758</v>
      </c>
      <c r="G133" s="310">
        <v>5701</v>
      </c>
      <c r="H133" s="310" t="s">
        <v>758</v>
      </c>
      <c r="I133" s="310">
        <v>5701</v>
      </c>
      <c r="J133" s="310" t="s">
        <v>729</v>
      </c>
      <c r="K133" s="310" t="s">
        <v>769</v>
      </c>
      <c r="L133" s="310" t="s">
        <v>770</v>
      </c>
      <c r="M133" s="310" t="s">
        <v>732</v>
      </c>
      <c r="N133" s="310" t="s">
        <v>733</v>
      </c>
      <c r="O133" s="310" t="s">
        <v>734</v>
      </c>
      <c r="P133" s="310"/>
      <c r="Q133" s="310" t="s">
        <v>735</v>
      </c>
      <c r="R133" s="310" t="s">
        <v>766</v>
      </c>
      <c r="S133" s="310" t="s">
        <v>767</v>
      </c>
      <c r="T133" s="310">
        <v>32.286048000000001</v>
      </c>
      <c r="U133" s="310">
        <v>-106.744529</v>
      </c>
      <c r="V133" s="310"/>
      <c r="W133" s="311">
        <v>2</v>
      </c>
      <c r="X133" s="311">
        <v>2</v>
      </c>
      <c r="Y133" s="310" t="s">
        <v>826</v>
      </c>
      <c r="Z133" s="310" t="s">
        <v>827</v>
      </c>
      <c r="AA133" s="310"/>
      <c r="AB133" s="312">
        <v>0.21909000000000001</v>
      </c>
      <c r="AC133" s="313">
        <v>4</v>
      </c>
      <c r="AD133" s="312"/>
      <c r="AE133" s="310"/>
      <c r="AF133" s="310"/>
      <c r="AG133" s="311"/>
      <c r="AH133" s="311"/>
      <c r="AI133" s="312"/>
      <c r="AJ133" s="310"/>
      <c r="AK133" s="314"/>
      <c r="AL133" s="314"/>
      <c r="AM133" s="314">
        <v>26193</v>
      </c>
      <c r="AN133" s="314">
        <v>12347</v>
      </c>
      <c r="AO133" s="314">
        <v>7677</v>
      </c>
      <c r="AP133" s="314">
        <v>3619</v>
      </c>
      <c r="AQ133" s="314"/>
      <c r="AR133" s="314"/>
      <c r="AS133" s="314"/>
      <c r="AT133" s="314"/>
      <c r="AU133" s="314"/>
      <c r="AV133" s="314"/>
      <c r="AW133" s="314"/>
      <c r="AX133" s="314"/>
      <c r="AY133" s="315"/>
      <c r="AZ133" s="315"/>
      <c r="BA133" s="315"/>
      <c r="BB133" s="315"/>
      <c r="BC133" s="315"/>
      <c r="BD133" s="315"/>
      <c r="BE133" s="315"/>
      <c r="BF133" s="315"/>
      <c r="BG133" s="315"/>
      <c r="BH133" s="315"/>
      <c r="BI133" s="315"/>
      <c r="BJ133" s="315"/>
      <c r="BK133" s="315"/>
      <c r="BL133" s="315"/>
      <c r="BM133" s="315"/>
      <c r="BN133" s="315"/>
      <c r="BO133" s="315"/>
      <c r="BP133" s="315"/>
      <c r="BQ133" s="315"/>
      <c r="BR133" s="315"/>
      <c r="BS133" s="315"/>
      <c r="BT133" s="315"/>
      <c r="BU133" s="315"/>
      <c r="BV133" s="315"/>
      <c r="BW133" s="311"/>
      <c r="BX133" s="311"/>
      <c r="BY133" s="311"/>
      <c r="BZ133" s="311"/>
      <c r="CA133" s="311"/>
      <c r="CB133" s="311"/>
      <c r="CC133" s="311"/>
      <c r="CD133" s="311"/>
      <c r="CE133" s="311"/>
      <c r="CF133" s="311"/>
      <c r="CG133" s="311"/>
      <c r="CH133" s="310">
        <v>26193</v>
      </c>
      <c r="CI133" s="310">
        <v>12347</v>
      </c>
      <c r="CJ133" s="310"/>
      <c r="CK133" s="310"/>
      <c r="CL133" s="310"/>
      <c r="CM133" s="310"/>
      <c r="CN133" s="310"/>
      <c r="CO133" s="310"/>
      <c r="CP133" s="310"/>
      <c r="CQ133" s="311" t="s">
        <v>744</v>
      </c>
      <c r="CR133" s="311" t="s">
        <v>742</v>
      </c>
      <c r="CS133" s="311" t="s">
        <v>742</v>
      </c>
      <c r="CT133" s="311"/>
      <c r="CU133" s="311"/>
      <c r="CV133" s="311"/>
      <c r="CW133" s="311"/>
      <c r="CX133" s="311"/>
      <c r="CY133" s="311"/>
      <c r="CZ133" s="311"/>
      <c r="DA133" s="311"/>
      <c r="DB133" s="311"/>
      <c r="DC133" s="311"/>
      <c r="DD133" s="311"/>
      <c r="DE133" s="316"/>
      <c r="DF133" s="314"/>
      <c r="DG133" s="314"/>
      <c r="DH133" s="314"/>
      <c r="DI133" s="314"/>
      <c r="DJ133" s="314"/>
      <c r="DK133" s="314">
        <v>0</v>
      </c>
      <c r="DL133" s="314">
        <v>0</v>
      </c>
      <c r="DM133" s="314">
        <v>0</v>
      </c>
      <c r="DN133" s="314">
        <v>0</v>
      </c>
      <c r="DO133" s="314">
        <v>0</v>
      </c>
      <c r="DP133" s="314">
        <v>0</v>
      </c>
      <c r="DQ133" s="314">
        <v>0</v>
      </c>
      <c r="DR133" s="314">
        <v>7677</v>
      </c>
      <c r="DS133" s="314">
        <v>0</v>
      </c>
      <c r="DT133" s="314">
        <v>0</v>
      </c>
      <c r="DU133" s="314">
        <v>0</v>
      </c>
      <c r="DV133" s="314">
        <v>0</v>
      </c>
      <c r="DW133" s="314">
        <v>7677</v>
      </c>
      <c r="DX133" s="314">
        <v>0</v>
      </c>
      <c r="DY133" s="314">
        <v>7677</v>
      </c>
      <c r="DZ133" s="314">
        <v>0</v>
      </c>
      <c r="EA133" s="314">
        <v>7677</v>
      </c>
      <c r="EB133" s="314">
        <v>0</v>
      </c>
      <c r="EC133" s="317">
        <v>0</v>
      </c>
      <c r="ED133" s="317">
        <v>0</v>
      </c>
      <c r="EE133" s="317">
        <v>0</v>
      </c>
      <c r="EF133" s="317">
        <v>0</v>
      </c>
      <c r="EG133" s="317">
        <v>0</v>
      </c>
      <c r="EH133" s="317">
        <v>0</v>
      </c>
      <c r="EI133" s="317">
        <v>0</v>
      </c>
      <c r="EJ133" s="317">
        <v>1</v>
      </c>
      <c r="EK133" s="317">
        <v>0</v>
      </c>
      <c r="EL133" s="317">
        <v>0</v>
      </c>
      <c r="EM133" s="317">
        <v>0</v>
      </c>
      <c r="EN133" s="317">
        <v>0</v>
      </c>
      <c r="EO133" s="317">
        <v>1</v>
      </c>
      <c r="EP133" s="317">
        <v>0</v>
      </c>
      <c r="EQ133" s="317">
        <v>1</v>
      </c>
      <c r="ER133" s="317">
        <v>0</v>
      </c>
      <c r="ES133" s="317">
        <v>1</v>
      </c>
      <c r="ET133" s="317">
        <v>0</v>
      </c>
    </row>
    <row r="134" spans="1:150" x14ac:dyDescent="0.25">
      <c r="A134" s="310">
        <v>8453</v>
      </c>
      <c r="B134" s="310">
        <v>2023</v>
      </c>
      <c r="C134" s="310" t="s">
        <v>10</v>
      </c>
      <c r="D134" s="310" t="s">
        <v>975</v>
      </c>
      <c r="E134" s="310">
        <v>584</v>
      </c>
      <c r="F134" s="310" t="s">
        <v>777</v>
      </c>
      <c r="G134" s="310">
        <v>6204</v>
      </c>
      <c r="H134" s="310" t="s">
        <v>777</v>
      </c>
      <c r="I134" s="310">
        <v>6204</v>
      </c>
      <c r="J134" s="310" t="s">
        <v>729</v>
      </c>
      <c r="K134" s="310" t="s">
        <v>778</v>
      </c>
      <c r="L134" s="310" t="s">
        <v>779</v>
      </c>
      <c r="M134" s="310" t="s">
        <v>732</v>
      </c>
      <c r="N134" s="310" t="s">
        <v>733</v>
      </c>
      <c r="O134" s="310" t="s">
        <v>734</v>
      </c>
      <c r="P134" s="310"/>
      <c r="Q134" s="310" t="s">
        <v>735</v>
      </c>
      <c r="R134" s="310" t="s">
        <v>736</v>
      </c>
      <c r="S134" s="310" t="s">
        <v>737</v>
      </c>
      <c r="T134" s="310">
        <v>36.806100000000001</v>
      </c>
      <c r="U134" s="310">
        <v>-107.6131</v>
      </c>
      <c r="V134" s="310"/>
      <c r="W134" s="311">
        <v>2</v>
      </c>
      <c r="X134" s="311">
        <v>2</v>
      </c>
      <c r="Y134" s="310" t="s">
        <v>820</v>
      </c>
      <c r="Z134" s="310" t="s">
        <v>821</v>
      </c>
      <c r="AA134" s="310"/>
      <c r="AB134" s="312">
        <v>0.34777000000000002</v>
      </c>
      <c r="AC134" s="313">
        <v>30</v>
      </c>
      <c r="AD134" s="312"/>
      <c r="AE134" s="310"/>
      <c r="AF134" s="310"/>
      <c r="AG134" s="311"/>
      <c r="AH134" s="311"/>
      <c r="AI134" s="312"/>
      <c r="AJ134" s="310"/>
      <c r="AK134" s="314"/>
      <c r="AL134" s="314"/>
      <c r="AM134" s="314">
        <v>311834</v>
      </c>
      <c r="AN134" s="314">
        <v>186272</v>
      </c>
      <c r="AO134" s="314">
        <v>91393</v>
      </c>
      <c r="AP134" s="314">
        <v>54593</v>
      </c>
      <c r="AQ134" s="314"/>
      <c r="AR134" s="314"/>
      <c r="AS134" s="314"/>
      <c r="AT134" s="314"/>
      <c r="AU134" s="314"/>
      <c r="AV134" s="314"/>
      <c r="AW134" s="314"/>
      <c r="AX134" s="314"/>
      <c r="AY134" s="315"/>
      <c r="AZ134" s="315"/>
      <c r="BA134" s="315"/>
      <c r="BB134" s="315"/>
      <c r="BC134" s="315"/>
      <c r="BD134" s="315"/>
      <c r="BE134" s="315"/>
      <c r="BF134" s="315"/>
      <c r="BG134" s="315"/>
      <c r="BH134" s="315"/>
      <c r="BI134" s="315"/>
      <c r="BJ134" s="315"/>
      <c r="BK134" s="315"/>
      <c r="BL134" s="315"/>
      <c r="BM134" s="315"/>
      <c r="BN134" s="315"/>
      <c r="BO134" s="315"/>
      <c r="BP134" s="315"/>
      <c r="BQ134" s="315"/>
      <c r="BR134" s="315"/>
      <c r="BS134" s="315"/>
      <c r="BT134" s="315"/>
      <c r="BU134" s="315"/>
      <c r="BV134" s="315"/>
      <c r="BW134" s="311"/>
      <c r="BX134" s="311"/>
      <c r="BY134" s="311"/>
      <c r="BZ134" s="311"/>
      <c r="CA134" s="311"/>
      <c r="CB134" s="311"/>
      <c r="CC134" s="311"/>
      <c r="CD134" s="311"/>
      <c r="CE134" s="311"/>
      <c r="CF134" s="311"/>
      <c r="CG134" s="311"/>
      <c r="CH134" s="310">
        <v>311834</v>
      </c>
      <c r="CI134" s="310">
        <v>186272</v>
      </c>
      <c r="CJ134" s="310"/>
      <c r="CK134" s="310"/>
      <c r="CL134" s="310"/>
      <c r="CM134" s="310"/>
      <c r="CN134" s="310"/>
      <c r="CO134" s="310"/>
      <c r="CP134" s="310"/>
      <c r="CQ134" s="311" t="s">
        <v>744</v>
      </c>
      <c r="CR134" s="311" t="s">
        <v>742</v>
      </c>
      <c r="CS134" s="311" t="s">
        <v>742</v>
      </c>
      <c r="CT134" s="311"/>
      <c r="CU134" s="311"/>
      <c r="CV134" s="311"/>
      <c r="CW134" s="311"/>
      <c r="CX134" s="311"/>
      <c r="CY134" s="311"/>
      <c r="CZ134" s="311"/>
      <c r="DA134" s="311"/>
      <c r="DB134" s="311"/>
      <c r="DC134" s="311"/>
      <c r="DD134" s="311"/>
      <c r="DE134" s="316"/>
      <c r="DF134" s="314"/>
      <c r="DG134" s="314"/>
      <c r="DH134" s="314"/>
      <c r="DI134" s="314"/>
      <c r="DJ134" s="314"/>
      <c r="DK134" s="314">
        <v>0</v>
      </c>
      <c r="DL134" s="314">
        <v>0</v>
      </c>
      <c r="DM134" s="314">
        <v>0</v>
      </c>
      <c r="DN134" s="314">
        <v>0</v>
      </c>
      <c r="DO134" s="314">
        <v>91393</v>
      </c>
      <c r="DP134" s="314">
        <v>0</v>
      </c>
      <c r="DQ134" s="314">
        <v>0</v>
      </c>
      <c r="DR134" s="314">
        <v>0</v>
      </c>
      <c r="DS134" s="314">
        <v>0</v>
      </c>
      <c r="DT134" s="314">
        <v>0</v>
      </c>
      <c r="DU134" s="314">
        <v>0</v>
      </c>
      <c r="DV134" s="314">
        <v>0</v>
      </c>
      <c r="DW134" s="314">
        <v>91393</v>
      </c>
      <c r="DX134" s="314">
        <v>0</v>
      </c>
      <c r="DY134" s="314">
        <v>0</v>
      </c>
      <c r="DZ134" s="314">
        <v>0</v>
      </c>
      <c r="EA134" s="314">
        <v>91393</v>
      </c>
      <c r="EB134" s="314">
        <v>0</v>
      </c>
      <c r="EC134" s="317">
        <v>0</v>
      </c>
      <c r="ED134" s="317">
        <v>0</v>
      </c>
      <c r="EE134" s="317">
        <v>0</v>
      </c>
      <c r="EF134" s="317">
        <v>0</v>
      </c>
      <c r="EG134" s="317">
        <v>1</v>
      </c>
      <c r="EH134" s="317">
        <v>0</v>
      </c>
      <c r="EI134" s="317">
        <v>0</v>
      </c>
      <c r="EJ134" s="317">
        <v>0</v>
      </c>
      <c r="EK134" s="317">
        <v>0</v>
      </c>
      <c r="EL134" s="317">
        <v>0</v>
      </c>
      <c r="EM134" s="317">
        <v>0</v>
      </c>
      <c r="EN134" s="317">
        <v>0</v>
      </c>
      <c r="EO134" s="317">
        <v>1</v>
      </c>
      <c r="EP134" s="317">
        <v>0</v>
      </c>
      <c r="EQ134" s="317">
        <v>0</v>
      </c>
      <c r="ER134" s="317">
        <v>0</v>
      </c>
      <c r="ES134" s="317">
        <v>1</v>
      </c>
      <c r="ET134" s="317">
        <v>0</v>
      </c>
    </row>
    <row r="135" spans="1:150" x14ac:dyDescent="0.25">
      <c r="A135" s="310">
        <v>8455</v>
      </c>
      <c r="B135" s="310">
        <v>2023</v>
      </c>
      <c r="C135" s="310" t="s">
        <v>10</v>
      </c>
      <c r="D135" s="310" t="s">
        <v>976</v>
      </c>
      <c r="E135" s="310">
        <v>56097</v>
      </c>
      <c r="F135" s="310" t="s">
        <v>759</v>
      </c>
      <c r="G135" s="310">
        <v>15473</v>
      </c>
      <c r="H135" s="310" t="s">
        <v>977</v>
      </c>
      <c r="I135" s="310">
        <v>34717</v>
      </c>
      <c r="J135" s="310" t="s">
        <v>748</v>
      </c>
      <c r="K135" s="310" t="s">
        <v>760</v>
      </c>
      <c r="L135" s="310" t="s">
        <v>761</v>
      </c>
      <c r="M135" s="310" t="s">
        <v>732</v>
      </c>
      <c r="N135" s="310" t="s">
        <v>733</v>
      </c>
      <c r="O135" s="310" t="s">
        <v>734</v>
      </c>
      <c r="P135" s="310"/>
      <c r="Q135" s="310" t="s">
        <v>735</v>
      </c>
      <c r="R135" s="310" t="s">
        <v>789</v>
      </c>
      <c r="S135" s="310" t="s">
        <v>790</v>
      </c>
      <c r="T135" s="310">
        <v>34.635660000000001</v>
      </c>
      <c r="U135" s="310">
        <v>-104.04733</v>
      </c>
      <c r="V135" s="310"/>
      <c r="W135" s="311">
        <v>1</v>
      </c>
      <c r="X135" s="311">
        <v>1</v>
      </c>
      <c r="Y135" s="310" t="s">
        <v>840</v>
      </c>
      <c r="Z135" s="310" t="s">
        <v>841</v>
      </c>
      <c r="AA135" s="310"/>
      <c r="AB135" s="312">
        <v>0.32700000000000001</v>
      </c>
      <c r="AC135" s="313">
        <v>204</v>
      </c>
      <c r="AD135" s="312"/>
      <c r="AE135" s="310"/>
      <c r="AF135" s="310"/>
      <c r="AG135" s="311"/>
      <c r="AH135" s="311"/>
      <c r="AI135" s="312"/>
      <c r="AJ135" s="310"/>
      <c r="AK135" s="314"/>
      <c r="AL135" s="314"/>
      <c r="AM135" s="314">
        <v>1993847</v>
      </c>
      <c r="AN135" s="314">
        <v>723023</v>
      </c>
      <c r="AO135" s="314">
        <v>584363</v>
      </c>
      <c r="AP135" s="314">
        <v>211906</v>
      </c>
      <c r="AQ135" s="314"/>
      <c r="AR135" s="314"/>
      <c r="AS135" s="314"/>
      <c r="AT135" s="314"/>
      <c r="AU135" s="314"/>
      <c r="AV135" s="314"/>
      <c r="AW135" s="314"/>
      <c r="AX135" s="314"/>
      <c r="AY135" s="315"/>
      <c r="AZ135" s="315"/>
      <c r="BA135" s="315"/>
      <c r="BB135" s="315"/>
      <c r="BC135" s="315"/>
      <c r="BD135" s="315"/>
      <c r="BE135" s="315"/>
      <c r="BF135" s="315"/>
      <c r="BG135" s="315"/>
      <c r="BH135" s="315"/>
      <c r="BI135" s="315"/>
      <c r="BJ135" s="315"/>
      <c r="BK135" s="315"/>
      <c r="BL135" s="315"/>
      <c r="BM135" s="315"/>
      <c r="BN135" s="315"/>
      <c r="BO135" s="315"/>
      <c r="BP135" s="315"/>
      <c r="BQ135" s="315"/>
      <c r="BR135" s="315"/>
      <c r="BS135" s="315"/>
      <c r="BT135" s="315"/>
      <c r="BU135" s="315"/>
      <c r="BV135" s="315"/>
      <c r="BW135" s="311"/>
      <c r="BX135" s="311"/>
      <c r="BY135" s="311"/>
      <c r="BZ135" s="311"/>
      <c r="CA135" s="311"/>
      <c r="CB135" s="311"/>
      <c r="CC135" s="311"/>
      <c r="CD135" s="311"/>
      <c r="CE135" s="311"/>
      <c r="CF135" s="311"/>
      <c r="CG135" s="311"/>
      <c r="CH135" s="310">
        <v>1993847</v>
      </c>
      <c r="CI135" s="310">
        <v>723023</v>
      </c>
      <c r="CJ135" s="310"/>
      <c r="CK135" s="310"/>
      <c r="CL135" s="310"/>
      <c r="CM135" s="310"/>
      <c r="CN135" s="310"/>
      <c r="CO135" s="310"/>
      <c r="CP135" s="310"/>
      <c r="CQ135" s="311" t="s">
        <v>744</v>
      </c>
      <c r="CR135" s="311" t="s">
        <v>742</v>
      </c>
      <c r="CS135" s="311" t="s">
        <v>742</v>
      </c>
      <c r="CT135" s="311"/>
      <c r="CU135" s="311"/>
      <c r="CV135" s="311"/>
      <c r="CW135" s="311"/>
      <c r="CX135" s="311"/>
      <c r="CY135" s="311"/>
      <c r="CZ135" s="311"/>
      <c r="DA135" s="311"/>
      <c r="DB135" s="311"/>
      <c r="DC135" s="311"/>
      <c r="DD135" s="311"/>
      <c r="DE135" s="316"/>
      <c r="DF135" s="314"/>
      <c r="DG135" s="314"/>
      <c r="DH135" s="314"/>
      <c r="DI135" s="314"/>
      <c r="DJ135" s="314"/>
      <c r="DK135" s="314">
        <v>0</v>
      </c>
      <c r="DL135" s="314">
        <v>0</v>
      </c>
      <c r="DM135" s="314">
        <v>0</v>
      </c>
      <c r="DN135" s="314">
        <v>0</v>
      </c>
      <c r="DO135" s="314">
        <v>0</v>
      </c>
      <c r="DP135" s="314">
        <v>0</v>
      </c>
      <c r="DQ135" s="314">
        <v>584363</v>
      </c>
      <c r="DR135" s="314">
        <v>0</v>
      </c>
      <c r="DS135" s="314">
        <v>0</v>
      </c>
      <c r="DT135" s="314">
        <v>0</v>
      </c>
      <c r="DU135" s="314">
        <v>0</v>
      </c>
      <c r="DV135" s="314">
        <v>0</v>
      </c>
      <c r="DW135" s="314">
        <v>584363</v>
      </c>
      <c r="DX135" s="314">
        <v>0</v>
      </c>
      <c r="DY135" s="314">
        <v>584363</v>
      </c>
      <c r="DZ135" s="314">
        <v>0</v>
      </c>
      <c r="EA135" s="314">
        <v>584363</v>
      </c>
      <c r="EB135" s="314">
        <v>0</v>
      </c>
      <c r="EC135" s="317">
        <v>0</v>
      </c>
      <c r="ED135" s="317">
        <v>0</v>
      </c>
      <c r="EE135" s="317">
        <v>0</v>
      </c>
      <c r="EF135" s="317">
        <v>0</v>
      </c>
      <c r="EG135" s="317">
        <v>0</v>
      </c>
      <c r="EH135" s="317">
        <v>0</v>
      </c>
      <c r="EI135" s="317">
        <v>1</v>
      </c>
      <c r="EJ135" s="317">
        <v>0</v>
      </c>
      <c r="EK135" s="317">
        <v>0</v>
      </c>
      <c r="EL135" s="317">
        <v>0</v>
      </c>
      <c r="EM135" s="317">
        <v>0</v>
      </c>
      <c r="EN135" s="317">
        <v>0</v>
      </c>
      <c r="EO135" s="317">
        <v>1</v>
      </c>
      <c r="EP135" s="317">
        <v>0</v>
      </c>
      <c r="EQ135" s="317">
        <v>1</v>
      </c>
      <c r="ER135" s="317">
        <v>0</v>
      </c>
      <c r="ES135" s="317">
        <v>1</v>
      </c>
      <c r="ET135" s="317">
        <v>0</v>
      </c>
    </row>
    <row r="136" spans="1:150" x14ac:dyDescent="0.25">
      <c r="A136" s="310">
        <v>8456</v>
      </c>
      <c r="B136" s="310">
        <v>2023</v>
      </c>
      <c r="C136" s="310" t="s">
        <v>10</v>
      </c>
      <c r="D136" s="310" t="s">
        <v>978</v>
      </c>
      <c r="E136" s="310">
        <v>63502</v>
      </c>
      <c r="F136" s="310" t="s">
        <v>758</v>
      </c>
      <c r="G136" s="310">
        <v>5701</v>
      </c>
      <c r="H136" s="310" t="s">
        <v>979</v>
      </c>
      <c r="I136" s="310">
        <v>24211</v>
      </c>
      <c r="J136" s="310" t="s">
        <v>729</v>
      </c>
      <c r="K136" s="310" t="s">
        <v>868</v>
      </c>
      <c r="L136" s="310" t="s">
        <v>869</v>
      </c>
      <c r="M136" s="310" t="s">
        <v>732</v>
      </c>
      <c r="N136" s="310" t="s">
        <v>733</v>
      </c>
      <c r="O136" s="310" t="s">
        <v>734</v>
      </c>
      <c r="P136" s="310"/>
      <c r="Q136" s="310" t="s">
        <v>735</v>
      </c>
      <c r="R136" s="310" t="s">
        <v>754</v>
      </c>
      <c r="S136" s="310" t="s">
        <v>755</v>
      </c>
      <c r="T136" s="310">
        <v>32.932299999999998</v>
      </c>
      <c r="U136" s="310">
        <v>-103.6664</v>
      </c>
      <c r="V136" s="310"/>
      <c r="W136" s="311">
        <v>2</v>
      </c>
      <c r="X136" s="311">
        <v>2</v>
      </c>
      <c r="Y136" s="310" t="s">
        <v>840</v>
      </c>
      <c r="Z136" s="310" t="s">
        <v>841</v>
      </c>
      <c r="AA136" s="310"/>
      <c r="AB136" s="312">
        <v>0.25218000000000002</v>
      </c>
      <c r="AC136" s="313">
        <v>249.8</v>
      </c>
      <c r="AD136" s="312"/>
      <c r="AE136" s="310"/>
      <c r="AF136" s="310"/>
      <c r="AG136" s="311"/>
      <c r="AH136" s="311"/>
      <c r="AI136" s="312"/>
      <c r="AJ136" s="310"/>
      <c r="AK136" s="314"/>
      <c r="AL136" s="314"/>
      <c r="AM136" s="314">
        <v>1882881</v>
      </c>
      <c r="AN136" s="314">
        <v>707117</v>
      </c>
      <c r="AO136" s="314">
        <v>551841</v>
      </c>
      <c r="AP136" s="314">
        <v>207244</v>
      </c>
      <c r="AQ136" s="314"/>
      <c r="AR136" s="314"/>
      <c r="AS136" s="314"/>
      <c r="AT136" s="314"/>
      <c r="AU136" s="314"/>
      <c r="AV136" s="314"/>
      <c r="AW136" s="314"/>
      <c r="AX136" s="314"/>
      <c r="AY136" s="315"/>
      <c r="AZ136" s="315"/>
      <c r="BA136" s="315"/>
      <c r="BB136" s="315"/>
      <c r="BC136" s="315"/>
      <c r="BD136" s="315"/>
      <c r="BE136" s="315"/>
      <c r="BF136" s="315"/>
      <c r="BG136" s="315"/>
      <c r="BH136" s="315"/>
      <c r="BI136" s="315"/>
      <c r="BJ136" s="315"/>
      <c r="BK136" s="315"/>
      <c r="BL136" s="315"/>
      <c r="BM136" s="315"/>
      <c r="BN136" s="315"/>
      <c r="BO136" s="315"/>
      <c r="BP136" s="315"/>
      <c r="BQ136" s="315"/>
      <c r="BR136" s="315"/>
      <c r="BS136" s="315"/>
      <c r="BT136" s="315"/>
      <c r="BU136" s="315"/>
      <c r="BV136" s="315"/>
      <c r="BW136" s="311"/>
      <c r="BX136" s="311"/>
      <c r="BY136" s="311"/>
      <c r="BZ136" s="311"/>
      <c r="CA136" s="311"/>
      <c r="CB136" s="311"/>
      <c r="CC136" s="311"/>
      <c r="CD136" s="311"/>
      <c r="CE136" s="311"/>
      <c r="CF136" s="311"/>
      <c r="CG136" s="311"/>
      <c r="CH136" s="310">
        <v>1882881</v>
      </c>
      <c r="CI136" s="310">
        <v>707117</v>
      </c>
      <c r="CJ136" s="310"/>
      <c r="CK136" s="310"/>
      <c r="CL136" s="310"/>
      <c r="CM136" s="310"/>
      <c r="CN136" s="310"/>
      <c r="CO136" s="310"/>
      <c r="CP136" s="310"/>
      <c r="CQ136" s="311" t="s">
        <v>744</v>
      </c>
      <c r="CR136" s="311" t="s">
        <v>742</v>
      </c>
      <c r="CS136" s="311" t="s">
        <v>742</v>
      </c>
      <c r="CT136" s="311"/>
      <c r="CU136" s="311"/>
      <c r="CV136" s="311"/>
      <c r="CW136" s="311"/>
      <c r="CX136" s="311"/>
      <c r="CY136" s="311"/>
      <c r="CZ136" s="311"/>
      <c r="DA136" s="311"/>
      <c r="DB136" s="311"/>
      <c r="DC136" s="311"/>
      <c r="DD136" s="311"/>
      <c r="DE136" s="316"/>
      <c r="DF136" s="314"/>
      <c r="DG136" s="314"/>
      <c r="DH136" s="314"/>
      <c r="DI136" s="314"/>
      <c r="DJ136" s="314"/>
      <c r="DK136" s="314">
        <v>0</v>
      </c>
      <c r="DL136" s="314">
        <v>0</v>
      </c>
      <c r="DM136" s="314">
        <v>0</v>
      </c>
      <c r="DN136" s="314">
        <v>0</v>
      </c>
      <c r="DO136" s="314">
        <v>0</v>
      </c>
      <c r="DP136" s="314">
        <v>0</v>
      </c>
      <c r="DQ136" s="314">
        <v>551841</v>
      </c>
      <c r="DR136" s="314">
        <v>0</v>
      </c>
      <c r="DS136" s="314">
        <v>0</v>
      </c>
      <c r="DT136" s="314">
        <v>0</v>
      </c>
      <c r="DU136" s="314">
        <v>0</v>
      </c>
      <c r="DV136" s="314">
        <v>0</v>
      </c>
      <c r="DW136" s="314">
        <v>551841</v>
      </c>
      <c r="DX136" s="314">
        <v>0</v>
      </c>
      <c r="DY136" s="314">
        <v>551841</v>
      </c>
      <c r="DZ136" s="314">
        <v>0</v>
      </c>
      <c r="EA136" s="314">
        <v>551841</v>
      </c>
      <c r="EB136" s="314">
        <v>0</v>
      </c>
      <c r="EC136" s="317">
        <v>0</v>
      </c>
      <c r="ED136" s="317">
        <v>0</v>
      </c>
      <c r="EE136" s="317">
        <v>0</v>
      </c>
      <c r="EF136" s="317">
        <v>0</v>
      </c>
      <c r="EG136" s="317">
        <v>0</v>
      </c>
      <c r="EH136" s="317">
        <v>0</v>
      </c>
      <c r="EI136" s="317">
        <v>1</v>
      </c>
      <c r="EJ136" s="317">
        <v>0</v>
      </c>
      <c r="EK136" s="317">
        <v>0</v>
      </c>
      <c r="EL136" s="317">
        <v>0</v>
      </c>
      <c r="EM136" s="317">
        <v>0</v>
      </c>
      <c r="EN136" s="317">
        <v>0</v>
      </c>
      <c r="EO136" s="317">
        <v>1</v>
      </c>
      <c r="EP136" s="317">
        <v>0</v>
      </c>
      <c r="EQ136" s="317">
        <v>1</v>
      </c>
      <c r="ER136" s="317">
        <v>0</v>
      </c>
      <c r="ES136" s="317">
        <v>1</v>
      </c>
      <c r="ET136" s="317">
        <v>0</v>
      </c>
    </row>
    <row r="137" spans="1:150" x14ac:dyDescent="0.25">
      <c r="A137" s="310">
        <v>8457</v>
      </c>
      <c r="B137" s="310">
        <v>2023</v>
      </c>
      <c r="C137" s="310" t="s">
        <v>10</v>
      </c>
      <c r="D137" s="310" t="s">
        <v>980</v>
      </c>
      <c r="E137" s="310">
        <v>58520</v>
      </c>
      <c r="F137" s="310" t="s">
        <v>759</v>
      </c>
      <c r="G137" s="310">
        <v>15473</v>
      </c>
      <c r="H137" s="310" t="s">
        <v>823</v>
      </c>
      <c r="I137" s="310">
        <v>59300</v>
      </c>
      <c r="J137" s="310" t="s">
        <v>729</v>
      </c>
      <c r="K137" s="310" t="s">
        <v>760</v>
      </c>
      <c r="L137" s="310" t="s">
        <v>761</v>
      </c>
      <c r="M137" s="310" t="s">
        <v>732</v>
      </c>
      <c r="N137" s="310" t="s">
        <v>733</v>
      </c>
      <c r="O137" s="310" t="s">
        <v>734</v>
      </c>
      <c r="P137" s="310"/>
      <c r="Q137" s="310" t="s">
        <v>735</v>
      </c>
      <c r="R137" s="310" t="s">
        <v>824</v>
      </c>
      <c r="S137" s="310" t="s">
        <v>825</v>
      </c>
      <c r="T137" s="310">
        <v>32.976388999999998</v>
      </c>
      <c r="U137" s="310">
        <v>-105.97111099999999</v>
      </c>
      <c r="V137" s="310"/>
      <c r="W137" s="311">
        <v>1</v>
      </c>
      <c r="X137" s="311">
        <v>1</v>
      </c>
      <c r="Y137" s="310" t="s">
        <v>826</v>
      </c>
      <c r="Z137" s="310" t="s">
        <v>827</v>
      </c>
      <c r="AA137" s="310"/>
      <c r="AB137" s="312">
        <v>0.25720999999999999</v>
      </c>
      <c r="AC137" s="313">
        <v>8</v>
      </c>
      <c r="AD137" s="312"/>
      <c r="AE137" s="310"/>
      <c r="AF137" s="310"/>
      <c r="AG137" s="311"/>
      <c r="AH137" s="311"/>
      <c r="AI137" s="312"/>
      <c r="AJ137" s="310"/>
      <c r="AK137" s="314"/>
      <c r="AL137" s="314"/>
      <c r="AM137" s="314">
        <v>61501</v>
      </c>
      <c r="AN137" s="314">
        <v>28603</v>
      </c>
      <c r="AO137" s="314">
        <v>18025</v>
      </c>
      <c r="AP137" s="314">
        <v>8383</v>
      </c>
      <c r="AQ137" s="314"/>
      <c r="AR137" s="314"/>
      <c r="AS137" s="314"/>
      <c r="AT137" s="314"/>
      <c r="AU137" s="314"/>
      <c r="AV137" s="314"/>
      <c r="AW137" s="314"/>
      <c r="AX137" s="314"/>
      <c r="AY137" s="315"/>
      <c r="AZ137" s="315"/>
      <c r="BA137" s="315"/>
      <c r="BB137" s="315"/>
      <c r="BC137" s="315"/>
      <c r="BD137" s="315"/>
      <c r="BE137" s="315"/>
      <c r="BF137" s="315"/>
      <c r="BG137" s="315"/>
      <c r="BH137" s="315"/>
      <c r="BI137" s="315"/>
      <c r="BJ137" s="315"/>
      <c r="BK137" s="315"/>
      <c r="BL137" s="315"/>
      <c r="BM137" s="315"/>
      <c r="BN137" s="315"/>
      <c r="BO137" s="315"/>
      <c r="BP137" s="315"/>
      <c r="BQ137" s="315"/>
      <c r="BR137" s="315"/>
      <c r="BS137" s="315"/>
      <c r="BT137" s="315"/>
      <c r="BU137" s="315"/>
      <c r="BV137" s="315"/>
      <c r="BW137" s="311"/>
      <c r="BX137" s="311"/>
      <c r="BY137" s="311"/>
      <c r="BZ137" s="311"/>
      <c r="CA137" s="311"/>
      <c r="CB137" s="311"/>
      <c r="CC137" s="311"/>
      <c r="CD137" s="311"/>
      <c r="CE137" s="311"/>
      <c r="CF137" s="311"/>
      <c r="CG137" s="311"/>
      <c r="CH137" s="310">
        <v>61501</v>
      </c>
      <c r="CI137" s="310">
        <v>28603</v>
      </c>
      <c r="CJ137" s="310"/>
      <c r="CK137" s="310"/>
      <c r="CL137" s="310"/>
      <c r="CM137" s="310"/>
      <c r="CN137" s="310"/>
      <c r="CO137" s="310"/>
      <c r="CP137" s="310"/>
      <c r="CQ137" s="311" t="s">
        <v>744</v>
      </c>
      <c r="CR137" s="311" t="s">
        <v>742</v>
      </c>
      <c r="CS137" s="311" t="s">
        <v>742</v>
      </c>
      <c r="CT137" s="311"/>
      <c r="CU137" s="311"/>
      <c r="CV137" s="311"/>
      <c r="CW137" s="311"/>
      <c r="CX137" s="311"/>
      <c r="CY137" s="311"/>
      <c r="CZ137" s="311"/>
      <c r="DA137" s="311"/>
      <c r="DB137" s="311"/>
      <c r="DC137" s="311"/>
      <c r="DD137" s="311"/>
      <c r="DE137" s="316"/>
      <c r="DF137" s="314"/>
      <c r="DG137" s="314"/>
      <c r="DH137" s="314"/>
      <c r="DI137" s="314"/>
      <c r="DJ137" s="314"/>
      <c r="DK137" s="314">
        <v>0</v>
      </c>
      <c r="DL137" s="314">
        <v>0</v>
      </c>
      <c r="DM137" s="314">
        <v>0</v>
      </c>
      <c r="DN137" s="314">
        <v>0</v>
      </c>
      <c r="DO137" s="314">
        <v>0</v>
      </c>
      <c r="DP137" s="314">
        <v>0</v>
      </c>
      <c r="DQ137" s="314">
        <v>0</v>
      </c>
      <c r="DR137" s="314">
        <v>18025</v>
      </c>
      <c r="DS137" s="314">
        <v>0</v>
      </c>
      <c r="DT137" s="314">
        <v>0</v>
      </c>
      <c r="DU137" s="314">
        <v>0</v>
      </c>
      <c r="DV137" s="314">
        <v>0</v>
      </c>
      <c r="DW137" s="314">
        <v>18025</v>
      </c>
      <c r="DX137" s="314">
        <v>0</v>
      </c>
      <c r="DY137" s="314">
        <v>18025</v>
      </c>
      <c r="DZ137" s="314">
        <v>0</v>
      </c>
      <c r="EA137" s="314">
        <v>18025</v>
      </c>
      <c r="EB137" s="314">
        <v>0</v>
      </c>
      <c r="EC137" s="317">
        <v>0</v>
      </c>
      <c r="ED137" s="317">
        <v>0</v>
      </c>
      <c r="EE137" s="317">
        <v>0</v>
      </c>
      <c r="EF137" s="317">
        <v>0</v>
      </c>
      <c r="EG137" s="317">
        <v>0</v>
      </c>
      <c r="EH137" s="317">
        <v>0</v>
      </c>
      <c r="EI137" s="317">
        <v>0</v>
      </c>
      <c r="EJ137" s="317">
        <v>1</v>
      </c>
      <c r="EK137" s="317">
        <v>0</v>
      </c>
      <c r="EL137" s="317">
        <v>0</v>
      </c>
      <c r="EM137" s="317">
        <v>0</v>
      </c>
      <c r="EN137" s="317">
        <v>0</v>
      </c>
      <c r="EO137" s="317">
        <v>1</v>
      </c>
      <c r="EP137" s="317">
        <v>0</v>
      </c>
      <c r="EQ137" s="317">
        <v>1</v>
      </c>
      <c r="ER137" s="317">
        <v>0</v>
      </c>
      <c r="ES137" s="317">
        <v>1</v>
      </c>
      <c r="ET137" s="317">
        <v>0</v>
      </c>
    </row>
    <row r="138" spans="1:150" x14ac:dyDescent="0.25">
      <c r="A138" s="310">
        <v>8458</v>
      </c>
      <c r="B138" s="310">
        <v>2023</v>
      </c>
      <c r="C138" s="310" t="s">
        <v>10</v>
      </c>
      <c r="D138" s="310" t="s">
        <v>981</v>
      </c>
      <c r="E138" s="310">
        <v>58899</v>
      </c>
      <c r="F138" s="310" t="s">
        <v>759</v>
      </c>
      <c r="G138" s="310">
        <v>15473</v>
      </c>
      <c r="H138" s="310" t="s">
        <v>759</v>
      </c>
      <c r="I138" s="310">
        <v>15473</v>
      </c>
      <c r="J138" s="310" t="s">
        <v>729</v>
      </c>
      <c r="K138" s="310" t="s">
        <v>760</v>
      </c>
      <c r="L138" s="310" t="s">
        <v>761</v>
      </c>
      <c r="M138" s="310" t="s">
        <v>732</v>
      </c>
      <c r="N138" s="310" t="s">
        <v>733</v>
      </c>
      <c r="O138" s="310" t="s">
        <v>734</v>
      </c>
      <c r="P138" s="310"/>
      <c r="Q138" s="310" t="s">
        <v>735</v>
      </c>
      <c r="R138" s="310" t="s">
        <v>772</v>
      </c>
      <c r="S138" s="310" t="s">
        <v>773</v>
      </c>
      <c r="T138" s="310">
        <v>35.001944000000002</v>
      </c>
      <c r="U138" s="310">
        <v>-106.63722199999999</v>
      </c>
      <c r="V138" s="310"/>
      <c r="W138" s="311">
        <v>2</v>
      </c>
      <c r="X138" s="311">
        <v>2</v>
      </c>
      <c r="Y138" s="310" t="s">
        <v>826</v>
      </c>
      <c r="Z138" s="310" t="s">
        <v>827</v>
      </c>
      <c r="AA138" s="310"/>
      <c r="AB138" s="312">
        <v>3.3779999999999998E-2</v>
      </c>
      <c r="AC138" s="313">
        <v>1.3</v>
      </c>
      <c r="AD138" s="312"/>
      <c r="AE138" s="310"/>
      <c r="AF138" s="310"/>
      <c r="AG138" s="311"/>
      <c r="AH138" s="311"/>
      <c r="AI138" s="312"/>
      <c r="AJ138" s="310"/>
      <c r="AK138" s="314"/>
      <c r="AL138" s="314"/>
      <c r="AM138" s="314">
        <v>1312</v>
      </c>
      <c r="AN138" s="314">
        <v>424</v>
      </c>
      <c r="AO138" s="314">
        <v>384.66</v>
      </c>
      <c r="AP138" s="314">
        <v>124.31</v>
      </c>
      <c r="AQ138" s="314"/>
      <c r="AR138" s="314"/>
      <c r="AS138" s="314"/>
      <c r="AT138" s="314"/>
      <c r="AU138" s="314"/>
      <c r="AV138" s="314"/>
      <c r="AW138" s="314"/>
      <c r="AX138" s="314"/>
      <c r="AY138" s="315"/>
      <c r="AZ138" s="315"/>
      <c r="BA138" s="315"/>
      <c r="BB138" s="315"/>
      <c r="BC138" s="315"/>
      <c r="BD138" s="315"/>
      <c r="BE138" s="315"/>
      <c r="BF138" s="315"/>
      <c r="BG138" s="315"/>
      <c r="BH138" s="315"/>
      <c r="BI138" s="315"/>
      <c r="BJ138" s="315"/>
      <c r="BK138" s="315"/>
      <c r="BL138" s="315"/>
      <c r="BM138" s="315"/>
      <c r="BN138" s="315"/>
      <c r="BO138" s="315"/>
      <c r="BP138" s="315"/>
      <c r="BQ138" s="315"/>
      <c r="BR138" s="315"/>
      <c r="BS138" s="315"/>
      <c r="BT138" s="315"/>
      <c r="BU138" s="315"/>
      <c r="BV138" s="315"/>
      <c r="BW138" s="311"/>
      <c r="BX138" s="311"/>
      <c r="BY138" s="311"/>
      <c r="BZ138" s="311"/>
      <c r="CA138" s="311"/>
      <c r="CB138" s="311"/>
      <c r="CC138" s="311"/>
      <c r="CD138" s="311"/>
      <c r="CE138" s="311"/>
      <c r="CF138" s="311"/>
      <c r="CG138" s="311"/>
      <c r="CH138" s="310">
        <v>1312</v>
      </c>
      <c r="CI138" s="310">
        <v>424</v>
      </c>
      <c r="CJ138" s="310"/>
      <c r="CK138" s="310"/>
      <c r="CL138" s="310"/>
      <c r="CM138" s="310"/>
      <c r="CN138" s="310"/>
      <c r="CO138" s="310"/>
      <c r="CP138" s="310"/>
      <c r="CQ138" s="311" t="s">
        <v>744</v>
      </c>
      <c r="CR138" s="311" t="s">
        <v>742</v>
      </c>
      <c r="CS138" s="311" t="s">
        <v>742</v>
      </c>
      <c r="CT138" s="311"/>
      <c r="CU138" s="311"/>
      <c r="CV138" s="311"/>
      <c r="CW138" s="311"/>
      <c r="CX138" s="311"/>
      <c r="CY138" s="311"/>
      <c r="CZ138" s="311"/>
      <c r="DA138" s="311"/>
      <c r="DB138" s="311"/>
      <c r="DC138" s="311"/>
      <c r="DD138" s="311"/>
      <c r="DE138" s="316"/>
      <c r="DF138" s="314"/>
      <c r="DG138" s="314"/>
      <c r="DH138" s="314"/>
      <c r="DI138" s="314"/>
      <c r="DJ138" s="314"/>
      <c r="DK138" s="314">
        <v>0</v>
      </c>
      <c r="DL138" s="314">
        <v>0</v>
      </c>
      <c r="DM138" s="314">
        <v>0</v>
      </c>
      <c r="DN138" s="314">
        <v>0</v>
      </c>
      <c r="DO138" s="314">
        <v>0</v>
      </c>
      <c r="DP138" s="314">
        <v>0</v>
      </c>
      <c r="DQ138" s="314">
        <v>0</v>
      </c>
      <c r="DR138" s="314">
        <v>384.66</v>
      </c>
      <c r="DS138" s="314">
        <v>0</v>
      </c>
      <c r="DT138" s="314">
        <v>0</v>
      </c>
      <c r="DU138" s="314">
        <v>0</v>
      </c>
      <c r="DV138" s="314">
        <v>0</v>
      </c>
      <c r="DW138" s="314">
        <v>384.66</v>
      </c>
      <c r="DX138" s="314">
        <v>0</v>
      </c>
      <c r="DY138" s="314">
        <v>384.66</v>
      </c>
      <c r="DZ138" s="314">
        <v>0</v>
      </c>
      <c r="EA138" s="314">
        <v>384.66</v>
      </c>
      <c r="EB138" s="314">
        <v>0</v>
      </c>
      <c r="EC138" s="317">
        <v>0</v>
      </c>
      <c r="ED138" s="317">
        <v>0</v>
      </c>
      <c r="EE138" s="317">
        <v>0</v>
      </c>
      <c r="EF138" s="317">
        <v>0</v>
      </c>
      <c r="EG138" s="317">
        <v>0</v>
      </c>
      <c r="EH138" s="317">
        <v>0</v>
      </c>
      <c r="EI138" s="317">
        <v>0</v>
      </c>
      <c r="EJ138" s="317">
        <v>1</v>
      </c>
      <c r="EK138" s="317">
        <v>0</v>
      </c>
      <c r="EL138" s="317">
        <v>0</v>
      </c>
      <c r="EM138" s="317">
        <v>0</v>
      </c>
      <c r="EN138" s="317">
        <v>0</v>
      </c>
      <c r="EO138" s="317">
        <v>1</v>
      </c>
      <c r="EP138" s="317">
        <v>0</v>
      </c>
      <c r="EQ138" s="317">
        <v>1</v>
      </c>
      <c r="ER138" s="317">
        <v>0</v>
      </c>
      <c r="ES138" s="317">
        <v>1</v>
      </c>
      <c r="ET138" s="317">
        <v>0</v>
      </c>
    </row>
    <row r="139" spans="1:150" x14ac:dyDescent="0.25">
      <c r="A139" s="310">
        <v>8461</v>
      </c>
      <c r="B139" s="310">
        <v>2023</v>
      </c>
      <c r="C139" s="310" t="s">
        <v>10</v>
      </c>
      <c r="D139" s="310" t="s">
        <v>982</v>
      </c>
      <c r="E139" s="310">
        <v>57369</v>
      </c>
      <c r="F139" s="310" t="s">
        <v>844</v>
      </c>
      <c r="G139" s="310">
        <v>10378</v>
      </c>
      <c r="H139" s="310" t="s">
        <v>983</v>
      </c>
      <c r="I139" s="310">
        <v>56706</v>
      </c>
      <c r="J139" s="310" t="s">
        <v>748</v>
      </c>
      <c r="K139" s="310" t="s">
        <v>760</v>
      </c>
      <c r="L139" s="310" t="s">
        <v>761</v>
      </c>
      <c r="M139" s="310" t="s">
        <v>732</v>
      </c>
      <c r="N139" s="310" t="s">
        <v>733</v>
      </c>
      <c r="O139" s="310" t="s">
        <v>734</v>
      </c>
      <c r="P139" s="310"/>
      <c r="Q139" s="310" t="s">
        <v>735</v>
      </c>
      <c r="R139" s="310" t="s">
        <v>860</v>
      </c>
      <c r="S139" s="310" t="s">
        <v>861</v>
      </c>
      <c r="T139" s="310">
        <v>36.716943999999998</v>
      </c>
      <c r="U139" s="310">
        <v>-105.60944000000001</v>
      </c>
      <c r="V139" s="310"/>
      <c r="W139" s="311">
        <v>1</v>
      </c>
      <c r="X139" s="311">
        <v>1</v>
      </c>
      <c r="Y139" s="310" t="s">
        <v>826</v>
      </c>
      <c r="Z139" s="310" t="s">
        <v>827</v>
      </c>
      <c r="AA139" s="310"/>
      <c r="AB139" s="312">
        <v>8.208E-2</v>
      </c>
      <c r="AC139" s="313">
        <v>1</v>
      </c>
      <c r="AD139" s="312"/>
      <c r="AE139" s="310"/>
      <c r="AF139" s="310"/>
      <c r="AG139" s="311"/>
      <c r="AH139" s="311"/>
      <c r="AI139" s="312"/>
      <c r="AJ139" s="310"/>
      <c r="AK139" s="314"/>
      <c r="AL139" s="314"/>
      <c r="AM139" s="314">
        <v>2452</v>
      </c>
      <c r="AN139" s="314">
        <v>1140</v>
      </c>
      <c r="AO139" s="314">
        <v>719</v>
      </c>
      <c r="AP139" s="314">
        <v>334</v>
      </c>
      <c r="AQ139" s="314"/>
      <c r="AR139" s="314"/>
      <c r="AS139" s="314"/>
      <c r="AT139" s="314"/>
      <c r="AU139" s="314"/>
      <c r="AV139" s="314"/>
      <c r="AW139" s="314"/>
      <c r="AX139" s="314"/>
      <c r="AY139" s="315"/>
      <c r="AZ139" s="315"/>
      <c r="BA139" s="315"/>
      <c r="BB139" s="315"/>
      <c r="BC139" s="315"/>
      <c r="BD139" s="315"/>
      <c r="BE139" s="315"/>
      <c r="BF139" s="315"/>
      <c r="BG139" s="315"/>
      <c r="BH139" s="315"/>
      <c r="BI139" s="315"/>
      <c r="BJ139" s="315"/>
      <c r="BK139" s="315"/>
      <c r="BL139" s="315"/>
      <c r="BM139" s="315"/>
      <c r="BN139" s="315"/>
      <c r="BO139" s="315"/>
      <c r="BP139" s="315"/>
      <c r="BQ139" s="315"/>
      <c r="BR139" s="315"/>
      <c r="BS139" s="315"/>
      <c r="BT139" s="315"/>
      <c r="BU139" s="315"/>
      <c r="BV139" s="315"/>
      <c r="BW139" s="311"/>
      <c r="BX139" s="311"/>
      <c r="BY139" s="311"/>
      <c r="BZ139" s="311"/>
      <c r="CA139" s="311"/>
      <c r="CB139" s="311"/>
      <c r="CC139" s="311"/>
      <c r="CD139" s="311"/>
      <c r="CE139" s="311"/>
      <c r="CF139" s="311"/>
      <c r="CG139" s="311"/>
      <c r="CH139" s="310">
        <v>2452</v>
      </c>
      <c r="CI139" s="310">
        <v>1140</v>
      </c>
      <c r="CJ139" s="310"/>
      <c r="CK139" s="310"/>
      <c r="CL139" s="310"/>
      <c r="CM139" s="310"/>
      <c r="CN139" s="310"/>
      <c r="CO139" s="310"/>
      <c r="CP139" s="310"/>
      <c r="CQ139" s="311" t="s">
        <v>744</v>
      </c>
      <c r="CR139" s="311" t="s">
        <v>742</v>
      </c>
      <c r="CS139" s="311" t="s">
        <v>742</v>
      </c>
      <c r="CT139" s="311"/>
      <c r="CU139" s="311"/>
      <c r="CV139" s="311"/>
      <c r="CW139" s="311"/>
      <c r="CX139" s="311"/>
      <c r="CY139" s="311"/>
      <c r="CZ139" s="311"/>
      <c r="DA139" s="311"/>
      <c r="DB139" s="311"/>
      <c r="DC139" s="311"/>
      <c r="DD139" s="311"/>
      <c r="DE139" s="316"/>
      <c r="DF139" s="314"/>
      <c r="DG139" s="314"/>
      <c r="DH139" s="314"/>
      <c r="DI139" s="314"/>
      <c r="DJ139" s="314"/>
      <c r="DK139" s="314">
        <v>0</v>
      </c>
      <c r="DL139" s="314">
        <v>0</v>
      </c>
      <c r="DM139" s="314">
        <v>0</v>
      </c>
      <c r="DN139" s="314">
        <v>0</v>
      </c>
      <c r="DO139" s="314">
        <v>0</v>
      </c>
      <c r="DP139" s="314">
        <v>0</v>
      </c>
      <c r="DQ139" s="314">
        <v>0</v>
      </c>
      <c r="DR139" s="314">
        <v>719</v>
      </c>
      <c r="DS139" s="314">
        <v>0</v>
      </c>
      <c r="DT139" s="314">
        <v>0</v>
      </c>
      <c r="DU139" s="314">
        <v>0</v>
      </c>
      <c r="DV139" s="314">
        <v>0</v>
      </c>
      <c r="DW139" s="314">
        <v>719</v>
      </c>
      <c r="DX139" s="314">
        <v>0</v>
      </c>
      <c r="DY139" s="314">
        <v>719</v>
      </c>
      <c r="DZ139" s="314">
        <v>0</v>
      </c>
      <c r="EA139" s="314">
        <v>719</v>
      </c>
      <c r="EB139" s="314">
        <v>0</v>
      </c>
      <c r="EC139" s="317">
        <v>0</v>
      </c>
      <c r="ED139" s="317">
        <v>0</v>
      </c>
      <c r="EE139" s="317">
        <v>0</v>
      </c>
      <c r="EF139" s="317">
        <v>0</v>
      </c>
      <c r="EG139" s="317">
        <v>0</v>
      </c>
      <c r="EH139" s="317">
        <v>0</v>
      </c>
      <c r="EI139" s="317">
        <v>0</v>
      </c>
      <c r="EJ139" s="317">
        <v>1</v>
      </c>
      <c r="EK139" s="317">
        <v>0</v>
      </c>
      <c r="EL139" s="317">
        <v>0</v>
      </c>
      <c r="EM139" s="317">
        <v>0</v>
      </c>
      <c r="EN139" s="317">
        <v>0</v>
      </c>
      <c r="EO139" s="317">
        <v>1</v>
      </c>
      <c r="EP139" s="317">
        <v>0</v>
      </c>
      <c r="EQ139" s="317">
        <v>1</v>
      </c>
      <c r="ER139" s="317">
        <v>0</v>
      </c>
      <c r="ES139" s="317">
        <v>1</v>
      </c>
      <c r="ET139" s="317">
        <v>0</v>
      </c>
    </row>
    <row r="140" spans="1:150" x14ac:dyDescent="0.25">
      <c r="A140" s="310">
        <v>8462</v>
      </c>
      <c r="B140" s="310">
        <v>2023</v>
      </c>
      <c r="C140" s="310" t="s">
        <v>10</v>
      </c>
      <c r="D140" s="310" t="s">
        <v>984</v>
      </c>
      <c r="E140" s="310">
        <v>62756</v>
      </c>
      <c r="F140" s="310" t="s">
        <v>759</v>
      </c>
      <c r="G140" s="310">
        <v>15473</v>
      </c>
      <c r="H140" s="310" t="s">
        <v>985</v>
      </c>
      <c r="I140" s="310">
        <v>62655</v>
      </c>
      <c r="J140" s="310" t="s">
        <v>748</v>
      </c>
      <c r="K140" s="310" t="s">
        <v>760</v>
      </c>
      <c r="L140" s="310" t="s">
        <v>761</v>
      </c>
      <c r="M140" s="310" t="s">
        <v>732</v>
      </c>
      <c r="N140" s="310" t="s">
        <v>733</v>
      </c>
      <c r="O140" s="310" t="s">
        <v>734</v>
      </c>
      <c r="P140" s="310"/>
      <c r="Q140" s="310" t="s">
        <v>735</v>
      </c>
      <c r="R140" s="310" t="s">
        <v>772</v>
      </c>
      <c r="S140" s="310" t="s">
        <v>773</v>
      </c>
      <c r="T140" s="310">
        <v>35.152721</v>
      </c>
      <c r="U140" s="310">
        <v>-106.547222</v>
      </c>
      <c r="V140" s="310"/>
      <c r="W140" s="311">
        <v>1</v>
      </c>
      <c r="X140" s="311">
        <v>1</v>
      </c>
      <c r="Y140" s="310" t="s">
        <v>826</v>
      </c>
      <c r="Z140" s="310" t="s">
        <v>827</v>
      </c>
      <c r="AA140" s="310"/>
      <c r="AB140" s="312">
        <v>0.23493</v>
      </c>
      <c r="AC140" s="313">
        <v>1</v>
      </c>
      <c r="AD140" s="312"/>
      <c r="AE140" s="310"/>
      <c r="AF140" s="310"/>
      <c r="AG140" s="311"/>
      <c r="AH140" s="311"/>
      <c r="AI140" s="312"/>
      <c r="AJ140" s="310"/>
      <c r="AK140" s="314"/>
      <c r="AL140" s="314"/>
      <c r="AM140" s="314">
        <v>7022</v>
      </c>
      <c r="AN140" s="314">
        <v>3145</v>
      </c>
      <c r="AO140" s="314">
        <v>2058</v>
      </c>
      <c r="AP140" s="314">
        <v>922</v>
      </c>
      <c r="AQ140" s="314"/>
      <c r="AR140" s="314"/>
      <c r="AS140" s="314"/>
      <c r="AT140" s="314"/>
      <c r="AU140" s="314"/>
      <c r="AV140" s="314"/>
      <c r="AW140" s="314"/>
      <c r="AX140" s="314"/>
      <c r="AY140" s="315"/>
      <c r="AZ140" s="315"/>
      <c r="BA140" s="315"/>
      <c r="BB140" s="315"/>
      <c r="BC140" s="315"/>
      <c r="BD140" s="315"/>
      <c r="BE140" s="315"/>
      <c r="BF140" s="315"/>
      <c r="BG140" s="315"/>
      <c r="BH140" s="315"/>
      <c r="BI140" s="315"/>
      <c r="BJ140" s="315"/>
      <c r="BK140" s="315"/>
      <c r="BL140" s="315"/>
      <c r="BM140" s="315"/>
      <c r="BN140" s="315"/>
      <c r="BO140" s="315"/>
      <c r="BP140" s="315"/>
      <c r="BQ140" s="315"/>
      <c r="BR140" s="315"/>
      <c r="BS140" s="315"/>
      <c r="BT140" s="315"/>
      <c r="BU140" s="315"/>
      <c r="BV140" s="315"/>
      <c r="BW140" s="311"/>
      <c r="BX140" s="311"/>
      <c r="BY140" s="311"/>
      <c r="BZ140" s="311"/>
      <c r="CA140" s="311"/>
      <c r="CB140" s="311"/>
      <c r="CC140" s="311"/>
      <c r="CD140" s="311"/>
      <c r="CE140" s="311"/>
      <c r="CF140" s="311"/>
      <c r="CG140" s="311"/>
      <c r="CH140" s="310">
        <v>7022</v>
      </c>
      <c r="CI140" s="310">
        <v>3145</v>
      </c>
      <c r="CJ140" s="310"/>
      <c r="CK140" s="310"/>
      <c r="CL140" s="310"/>
      <c r="CM140" s="310"/>
      <c r="CN140" s="310"/>
      <c r="CO140" s="310"/>
      <c r="CP140" s="310"/>
      <c r="CQ140" s="311" t="s">
        <v>744</v>
      </c>
      <c r="CR140" s="311" t="s">
        <v>742</v>
      </c>
      <c r="CS140" s="311" t="s">
        <v>742</v>
      </c>
      <c r="CT140" s="311"/>
      <c r="CU140" s="311"/>
      <c r="CV140" s="311"/>
      <c r="CW140" s="311"/>
      <c r="CX140" s="311"/>
      <c r="CY140" s="311"/>
      <c r="CZ140" s="311"/>
      <c r="DA140" s="311"/>
      <c r="DB140" s="311"/>
      <c r="DC140" s="311"/>
      <c r="DD140" s="311"/>
      <c r="DE140" s="316"/>
      <c r="DF140" s="314"/>
      <c r="DG140" s="314"/>
      <c r="DH140" s="314"/>
      <c r="DI140" s="314"/>
      <c r="DJ140" s="314"/>
      <c r="DK140" s="314">
        <v>0</v>
      </c>
      <c r="DL140" s="314">
        <v>0</v>
      </c>
      <c r="DM140" s="314">
        <v>0</v>
      </c>
      <c r="DN140" s="314">
        <v>0</v>
      </c>
      <c r="DO140" s="314">
        <v>0</v>
      </c>
      <c r="DP140" s="314">
        <v>0</v>
      </c>
      <c r="DQ140" s="314">
        <v>0</v>
      </c>
      <c r="DR140" s="314">
        <v>2058</v>
      </c>
      <c r="DS140" s="314">
        <v>0</v>
      </c>
      <c r="DT140" s="314">
        <v>0</v>
      </c>
      <c r="DU140" s="314">
        <v>0</v>
      </c>
      <c r="DV140" s="314">
        <v>0</v>
      </c>
      <c r="DW140" s="314">
        <v>2058</v>
      </c>
      <c r="DX140" s="314">
        <v>0</v>
      </c>
      <c r="DY140" s="314">
        <v>2058</v>
      </c>
      <c r="DZ140" s="314">
        <v>0</v>
      </c>
      <c r="EA140" s="314">
        <v>2058</v>
      </c>
      <c r="EB140" s="314">
        <v>0</v>
      </c>
      <c r="EC140" s="317">
        <v>0</v>
      </c>
      <c r="ED140" s="317">
        <v>0</v>
      </c>
      <c r="EE140" s="317">
        <v>0</v>
      </c>
      <c r="EF140" s="317">
        <v>0</v>
      </c>
      <c r="EG140" s="317">
        <v>0</v>
      </c>
      <c r="EH140" s="317">
        <v>0</v>
      </c>
      <c r="EI140" s="317">
        <v>0</v>
      </c>
      <c r="EJ140" s="317">
        <v>1</v>
      </c>
      <c r="EK140" s="317">
        <v>0</v>
      </c>
      <c r="EL140" s="317">
        <v>0</v>
      </c>
      <c r="EM140" s="317">
        <v>0</v>
      </c>
      <c r="EN140" s="317">
        <v>0</v>
      </c>
      <c r="EO140" s="317">
        <v>1</v>
      </c>
      <c r="EP140" s="317">
        <v>0</v>
      </c>
      <c r="EQ140" s="317">
        <v>1</v>
      </c>
      <c r="ER140" s="317">
        <v>0</v>
      </c>
      <c r="ES140" s="317">
        <v>1</v>
      </c>
      <c r="ET140" s="317">
        <v>0</v>
      </c>
    </row>
    <row r="141" spans="1:150" x14ac:dyDescent="0.25">
      <c r="A141" s="310">
        <v>8463</v>
      </c>
      <c r="B141" s="310">
        <v>2023</v>
      </c>
      <c r="C141" s="310" t="s">
        <v>10</v>
      </c>
      <c r="D141" s="310" t="s">
        <v>986</v>
      </c>
      <c r="E141" s="310">
        <v>63981</v>
      </c>
      <c r="F141" s="310" t="s">
        <v>759</v>
      </c>
      <c r="G141" s="310">
        <v>15473</v>
      </c>
      <c r="H141" s="310" t="s">
        <v>877</v>
      </c>
      <c r="I141" s="310">
        <v>56545</v>
      </c>
      <c r="J141" s="310" t="s">
        <v>748</v>
      </c>
      <c r="K141" s="310" t="s">
        <v>760</v>
      </c>
      <c r="L141" s="310" t="s">
        <v>761</v>
      </c>
      <c r="M141" s="310" t="s">
        <v>732</v>
      </c>
      <c r="N141" s="310" t="s">
        <v>733</v>
      </c>
      <c r="O141" s="310" t="s">
        <v>734</v>
      </c>
      <c r="P141" s="310"/>
      <c r="Q141" s="310" t="s">
        <v>735</v>
      </c>
      <c r="R141" s="310" t="s">
        <v>896</v>
      </c>
      <c r="S141" s="310" t="s">
        <v>897</v>
      </c>
      <c r="T141" s="310">
        <v>34.274062000000001</v>
      </c>
      <c r="U141" s="310">
        <v>-105.42291</v>
      </c>
      <c r="V141" s="310"/>
      <c r="W141" s="311">
        <v>1</v>
      </c>
      <c r="X141" s="311">
        <v>1</v>
      </c>
      <c r="Y141" s="310" t="s">
        <v>840</v>
      </c>
      <c r="Z141" s="310" t="s">
        <v>841</v>
      </c>
      <c r="AA141" s="310"/>
      <c r="AB141" s="312">
        <v>0.37941000000000003</v>
      </c>
      <c r="AC141" s="313">
        <v>350</v>
      </c>
      <c r="AD141" s="312"/>
      <c r="AE141" s="310"/>
      <c r="AF141" s="310"/>
      <c r="AG141" s="311"/>
      <c r="AH141" s="311"/>
      <c r="AI141" s="312"/>
      <c r="AJ141" s="310"/>
      <c r="AK141" s="314"/>
      <c r="AL141" s="314"/>
      <c r="AM141" s="314">
        <v>3969100</v>
      </c>
      <c r="AN141" s="314">
        <v>1352714</v>
      </c>
      <c r="AO141" s="314">
        <v>1163277</v>
      </c>
      <c r="AP141" s="314">
        <v>396458</v>
      </c>
      <c r="AQ141" s="314"/>
      <c r="AR141" s="314"/>
      <c r="AS141" s="314"/>
      <c r="AT141" s="314"/>
      <c r="AU141" s="314"/>
      <c r="AV141" s="314"/>
      <c r="AW141" s="314"/>
      <c r="AX141" s="314"/>
      <c r="AY141" s="315"/>
      <c r="AZ141" s="315"/>
      <c r="BA141" s="315"/>
      <c r="BB141" s="315"/>
      <c r="BC141" s="315"/>
      <c r="BD141" s="315"/>
      <c r="BE141" s="315"/>
      <c r="BF141" s="315"/>
      <c r="BG141" s="315"/>
      <c r="BH141" s="315"/>
      <c r="BI141" s="315"/>
      <c r="BJ141" s="315"/>
      <c r="BK141" s="315"/>
      <c r="BL141" s="315"/>
      <c r="BM141" s="315"/>
      <c r="BN141" s="315"/>
      <c r="BO141" s="315"/>
      <c r="BP141" s="315"/>
      <c r="BQ141" s="315"/>
      <c r="BR141" s="315"/>
      <c r="BS141" s="315"/>
      <c r="BT141" s="315"/>
      <c r="BU141" s="315"/>
      <c r="BV141" s="315"/>
      <c r="BW141" s="311"/>
      <c r="BX141" s="311"/>
      <c r="BY141" s="311"/>
      <c r="BZ141" s="311"/>
      <c r="CA141" s="311"/>
      <c r="CB141" s="311"/>
      <c r="CC141" s="311"/>
      <c r="CD141" s="311"/>
      <c r="CE141" s="311"/>
      <c r="CF141" s="311"/>
      <c r="CG141" s="311"/>
      <c r="CH141" s="310">
        <v>3969100</v>
      </c>
      <c r="CI141" s="310">
        <v>1352714</v>
      </c>
      <c r="CJ141" s="310"/>
      <c r="CK141" s="310"/>
      <c r="CL141" s="310"/>
      <c r="CM141" s="310"/>
      <c r="CN141" s="310"/>
      <c r="CO141" s="310"/>
      <c r="CP141" s="310"/>
      <c r="CQ141" s="311" t="s">
        <v>744</v>
      </c>
      <c r="CR141" s="311" t="s">
        <v>742</v>
      </c>
      <c r="CS141" s="311" t="s">
        <v>742</v>
      </c>
      <c r="CT141" s="311"/>
      <c r="CU141" s="311"/>
      <c r="CV141" s="311"/>
      <c r="CW141" s="311"/>
      <c r="CX141" s="311"/>
      <c r="CY141" s="311"/>
      <c r="CZ141" s="311"/>
      <c r="DA141" s="311"/>
      <c r="DB141" s="311"/>
      <c r="DC141" s="311"/>
      <c r="DD141" s="311"/>
      <c r="DE141" s="316"/>
      <c r="DF141" s="314"/>
      <c r="DG141" s="314"/>
      <c r="DH141" s="314"/>
      <c r="DI141" s="314"/>
      <c r="DJ141" s="314"/>
      <c r="DK141" s="314">
        <v>0</v>
      </c>
      <c r="DL141" s="314">
        <v>0</v>
      </c>
      <c r="DM141" s="314">
        <v>0</v>
      </c>
      <c r="DN141" s="314">
        <v>0</v>
      </c>
      <c r="DO141" s="314">
        <v>0</v>
      </c>
      <c r="DP141" s="314">
        <v>0</v>
      </c>
      <c r="DQ141" s="314">
        <v>1163277</v>
      </c>
      <c r="DR141" s="314">
        <v>0</v>
      </c>
      <c r="DS141" s="314">
        <v>0</v>
      </c>
      <c r="DT141" s="314">
        <v>0</v>
      </c>
      <c r="DU141" s="314">
        <v>0</v>
      </c>
      <c r="DV141" s="314">
        <v>0</v>
      </c>
      <c r="DW141" s="314">
        <v>1163277</v>
      </c>
      <c r="DX141" s="314">
        <v>0</v>
      </c>
      <c r="DY141" s="314">
        <v>1163277</v>
      </c>
      <c r="DZ141" s="314">
        <v>0</v>
      </c>
      <c r="EA141" s="314">
        <v>1163277</v>
      </c>
      <c r="EB141" s="314">
        <v>0</v>
      </c>
      <c r="EC141" s="317">
        <v>0</v>
      </c>
      <c r="ED141" s="317">
        <v>0</v>
      </c>
      <c r="EE141" s="317">
        <v>0</v>
      </c>
      <c r="EF141" s="317">
        <v>0</v>
      </c>
      <c r="EG141" s="317">
        <v>0</v>
      </c>
      <c r="EH141" s="317">
        <v>0</v>
      </c>
      <c r="EI141" s="317">
        <v>1</v>
      </c>
      <c r="EJ141" s="317">
        <v>0</v>
      </c>
      <c r="EK141" s="317">
        <v>0</v>
      </c>
      <c r="EL141" s="317">
        <v>0</v>
      </c>
      <c r="EM141" s="317">
        <v>0</v>
      </c>
      <c r="EN141" s="317">
        <v>0</v>
      </c>
      <c r="EO141" s="317">
        <v>1</v>
      </c>
      <c r="EP141" s="317">
        <v>0</v>
      </c>
      <c r="EQ141" s="317">
        <v>1</v>
      </c>
      <c r="ER141" s="317">
        <v>0</v>
      </c>
      <c r="ES141" s="317">
        <v>1</v>
      </c>
      <c r="ET141" s="317">
        <v>0</v>
      </c>
    </row>
    <row r="142" spans="1:150" x14ac:dyDescent="0.25">
      <c r="A142" s="310">
        <v>8464</v>
      </c>
      <c r="B142" s="310">
        <v>2023</v>
      </c>
      <c r="C142" s="310" t="s">
        <v>10</v>
      </c>
      <c r="D142" s="310" t="s">
        <v>987</v>
      </c>
      <c r="E142" s="310">
        <v>57357</v>
      </c>
      <c r="F142" s="310" t="s">
        <v>759</v>
      </c>
      <c r="G142" s="310">
        <v>15473</v>
      </c>
      <c r="H142" s="310" t="s">
        <v>987</v>
      </c>
      <c r="I142" s="310">
        <v>56698</v>
      </c>
      <c r="J142" s="310" t="s">
        <v>748</v>
      </c>
      <c r="K142" s="310" t="s">
        <v>760</v>
      </c>
      <c r="L142" s="310" t="s">
        <v>761</v>
      </c>
      <c r="M142" s="310" t="s">
        <v>732</v>
      </c>
      <c r="N142" s="310" t="s">
        <v>733</v>
      </c>
      <c r="O142" s="310" t="s">
        <v>734</v>
      </c>
      <c r="P142" s="310"/>
      <c r="Q142" s="310" t="s">
        <v>735</v>
      </c>
      <c r="R142" s="310" t="s">
        <v>832</v>
      </c>
      <c r="S142" s="310" t="s">
        <v>833</v>
      </c>
      <c r="T142" s="310">
        <v>35.268900000000002</v>
      </c>
      <c r="U142" s="310">
        <v>-107.3828</v>
      </c>
      <c r="V142" s="310"/>
      <c r="W142" s="311">
        <v>1</v>
      </c>
      <c r="X142" s="311">
        <v>1</v>
      </c>
      <c r="Y142" s="310" t="s">
        <v>840</v>
      </c>
      <c r="Z142" s="310" t="s">
        <v>841</v>
      </c>
      <c r="AA142" s="310"/>
      <c r="AB142" s="312">
        <v>0.22413</v>
      </c>
      <c r="AC142" s="313">
        <v>102.4</v>
      </c>
      <c r="AD142" s="312"/>
      <c r="AE142" s="310"/>
      <c r="AF142" s="310"/>
      <c r="AG142" s="311"/>
      <c r="AH142" s="311"/>
      <c r="AI142" s="312"/>
      <c r="AJ142" s="310"/>
      <c r="AK142" s="314"/>
      <c r="AL142" s="314"/>
      <c r="AM142" s="314">
        <v>685993</v>
      </c>
      <c r="AN142" s="314">
        <v>230644</v>
      </c>
      <c r="AO142" s="314">
        <v>201053</v>
      </c>
      <c r="AP142" s="314">
        <v>67598</v>
      </c>
      <c r="AQ142" s="314"/>
      <c r="AR142" s="314"/>
      <c r="AS142" s="314"/>
      <c r="AT142" s="314"/>
      <c r="AU142" s="314"/>
      <c r="AV142" s="314"/>
      <c r="AW142" s="314"/>
      <c r="AX142" s="314"/>
      <c r="AY142" s="315"/>
      <c r="AZ142" s="315"/>
      <c r="BA142" s="315"/>
      <c r="BB142" s="315"/>
      <c r="BC142" s="315"/>
      <c r="BD142" s="315"/>
      <c r="BE142" s="315"/>
      <c r="BF142" s="315"/>
      <c r="BG142" s="315"/>
      <c r="BH142" s="315"/>
      <c r="BI142" s="315"/>
      <c r="BJ142" s="315"/>
      <c r="BK142" s="315"/>
      <c r="BL142" s="315"/>
      <c r="BM142" s="315"/>
      <c r="BN142" s="315"/>
      <c r="BO142" s="315"/>
      <c r="BP142" s="315"/>
      <c r="BQ142" s="315"/>
      <c r="BR142" s="315"/>
      <c r="BS142" s="315"/>
      <c r="BT142" s="315"/>
      <c r="BU142" s="315"/>
      <c r="BV142" s="315"/>
      <c r="BW142" s="311"/>
      <c r="BX142" s="311"/>
      <c r="BY142" s="311"/>
      <c r="BZ142" s="311"/>
      <c r="CA142" s="311"/>
      <c r="CB142" s="311"/>
      <c r="CC142" s="311"/>
      <c r="CD142" s="311"/>
      <c r="CE142" s="311"/>
      <c r="CF142" s="311"/>
      <c r="CG142" s="311"/>
      <c r="CH142" s="310">
        <v>685993</v>
      </c>
      <c r="CI142" s="310">
        <v>230644</v>
      </c>
      <c r="CJ142" s="310"/>
      <c r="CK142" s="310"/>
      <c r="CL142" s="310"/>
      <c r="CM142" s="310"/>
      <c r="CN142" s="310"/>
      <c r="CO142" s="310"/>
      <c r="CP142" s="310"/>
      <c r="CQ142" s="311" t="s">
        <v>744</v>
      </c>
      <c r="CR142" s="311" t="s">
        <v>742</v>
      </c>
      <c r="CS142" s="311" t="s">
        <v>742</v>
      </c>
      <c r="CT142" s="311"/>
      <c r="CU142" s="311"/>
      <c r="CV142" s="311"/>
      <c r="CW142" s="311"/>
      <c r="CX142" s="311"/>
      <c r="CY142" s="311"/>
      <c r="CZ142" s="311"/>
      <c r="DA142" s="311"/>
      <c r="DB142" s="311"/>
      <c r="DC142" s="311"/>
      <c r="DD142" s="311"/>
      <c r="DE142" s="316"/>
      <c r="DF142" s="314"/>
      <c r="DG142" s="314"/>
      <c r="DH142" s="314"/>
      <c r="DI142" s="314"/>
      <c r="DJ142" s="314"/>
      <c r="DK142" s="314">
        <v>0</v>
      </c>
      <c r="DL142" s="314">
        <v>0</v>
      </c>
      <c r="DM142" s="314">
        <v>0</v>
      </c>
      <c r="DN142" s="314">
        <v>0</v>
      </c>
      <c r="DO142" s="314">
        <v>0</v>
      </c>
      <c r="DP142" s="314">
        <v>0</v>
      </c>
      <c r="DQ142" s="314">
        <v>201053</v>
      </c>
      <c r="DR142" s="314">
        <v>0</v>
      </c>
      <c r="DS142" s="314">
        <v>0</v>
      </c>
      <c r="DT142" s="314">
        <v>0</v>
      </c>
      <c r="DU142" s="314">
        <v>0</v>
      </c>
      <c r="DV142" s="314">
        <v>0</v>
      </c>
      <c r="DW142" s="314">
        <v>201053</v>
      </c>
      <c r="DX142" s="314">
        <v>0</v>
      </c>
      <c r="DY142" s="314">
        <v>201053</v>
      </c>
      <c r="DZ142" s="314">
        <v>0</v>
      </c>
      <c r="EA142" s="314">
        <v>201053</v>
      </c>
      <c r="EB142" s="314">
        <v>0</v>
      </c>
      <c r="EC142" s="317">
        <v>0</v>
      </c>
      <c r="ED142" s="317">
        <v>0</v>
      </c>
      <c r="EE142" s="317">
        <v>0</v>
      </c>
      <c r="EF142" s="317">
        <v>0</v>
      </c>
      <c r="EG142" s="317">
        <v>0</v>
      </c>
      <c r="EH142" s="317">
        <v>0</v>
      </c>
      <c r="EI142" s="317">
        <v>1</v>
      </c>
      <c r="EJ142" s="317">
        <v>0</v>
      </c>
      <c r="EK142" s="317">
        <v>0</v>
      </c>
      <c r="EL142" s="317">
        <v>0</v>
      </c>
      <c r="EM142" s="317">
        <v>0</v>
      </c>
      <c r="EN142" s="317">
        <v>0</v>
      </c>
      <c r="EO142" s="317">
        <v>1</v>
      </c>
      <c r="EP142" s="317">
        <v>0</v>
      </c>
      <c r="EQ142" s="317">
        <v>1</v>
      </c>
      <c r="ER142" s="317">
        <v>0</v>
      </c>
      <c r="ES142" s="317">
        <v>1</v>
      </c>
      <c r="ET142" s="317">
        <v>0</v>
      </c>
    </row>
    <row r="143" spans="1:150" x14ac:dyDescent="0.25">
      <c r="A143" s="310">
        <v>8467</v>
      </c>
      <c r="B143" s="310">
        <v>2023</v>
      </c>
      <c r="C143" s="310" t="s">
        <v>10</v>
      </c>
      <c r="D143" s="310" t="s">
        <v>988</v>
      </c>
      <c r="E143" s="310">
        <v>60198</v>
      </c>
      <c r="F143" s="310" t="s">
        <v>759</v>
      </c>
      <c r="G143" s="310">
        <v>15473</v>
      </c>
      <c r="H143" s="310" t="s">
        <v>823</v>
      </c>
      <c r="I143" s="310">
        <v>59300</v>
      </c>
      <c r="J143" s="310" t="s">
        <v>729</v>
      </c>
      <c r="K143" s="310" t="s">
        <v>760</v>
      </c>
      <c r="L143" s="310" t="s">
        <v>761</v>
      </c>
      <c r="M143" s="310" t="s">
        <v>732</v>
      </c>
      <c r="N143" s="310" t="s">
        <v>733</v>
      </c>
      <c r="O143" s="310" t="s">
        <v>734</v>
      </c>
      <c r="P143" s="310"/>
      <c r="Q143" s="310" t="s">
        <v>735</v>
      </c>
      <c r="R143" s="310" t="s">
        <v>786</v>
      </c>
      <c r="S143" s="310" t="s">
        <v>787</v>
      </c>
      <c r="T143" s="310">
        <v>34.582597999999997</v>
      </c>
      <c r="U143" s="310">
        <v>-106.682975</v>
      </c>
      <c r="V143" s="310"/>
      <c r="W143" s="311">
        <v>1</v>
      </c>
      <c r="X143" s="311">
        <v>1</v>
      </c>
      <c r="Y143" s="310" t="s">
        <v>826</v>
      </c>
      <c r="Z143" s="310" t="s">
        <v>827</v>
      </c>
      <c r="AA143" s="310"/>
      <c r="AB143" s="312">
        <v>0.29083999999999999</v>
      </c>
      <c r="AC143" s="313">
        <v>10</v>
      </c>
      <c r="AD143" s="312"/>
      <c r="AE143" s="310"/>
      <c r="AF143" s="310"/>
      <c r="AG143" s="311"/>
      <c r="AH143" s="311"/>
      <c r="AI143" s="312"/>
      <c r="AJ143" s="310"/>
      <c r="AK143" s="314"/>
      <c r="AL143" s="314"/>
      <c r="AM143" s="314">
        <v>86932</v>
      </c>
      <c r="AN143" s="314">
        <v>44175</v>
      </c>
      <c r="AO143" s="314">
        <v>25478</v>
      </c>
      <c r="AP143" s="314">
        <v>12947</v>
      </c>
      <c r="AQ143" s="314"/>
      <c r="AR143" s="314"/>
      <c r="AS143" s="314"/>
      <c r="AT143" s="314"/>
      <c r="AU143" s="314"/>
      <c r="AV143" s="314"/>
      <c r="AW143" s="314"/>
      <c r="AX143" s="314"/>
      <c r="AY143" s="315"/>
      <c r="AZ143" s="315"/>
      <c r="BA143" s="315"/>
      <c r="BB143" s="315"/>
      <c r="BC143" s="315"/>
      <c r="BD143" s="315"/>
      <c r="BE143" s="315"/>
      <c r="BF143" s="315"/>
      <c r="BG143" s="315"/>
      <c r="BH143" s="315"/>
      <c r="BI143" s="315"/>
      <c r="BJ143" s="315"/>
      <c r="BK143" s="315"/>
      <c r="BL143" s="315"/>
      <c r="BM143" s="315"/>
      <c r="BN143" s="315"/>
      <c r="BO143" s="315"/>
      <c r="BP143" s="315"/>
      <c r="BQ143" s="315"/>
      <c r="BR143" s="315"/>
      <c r="BS143" s="315"/>
      <c r="BT143" s="315"/>
      <c r="BU143" s="315"/>
      <c r="BV143" s="315"/>
      <c r="BW143" s="311"/>
      <c r="BX143" s="311"/>
      <c r="BY143" s="311"/>
      <c r="BZ143" s="311"/>
      <c r="CA143" s="311"/>
      <c r="CB143" s="311"/>
      <c r="CC143" s="311"/>
      <c r="CD143" s="311"/>
      <c r="CE143" s="311"/>
      <c r="CF143" s="311"/>
      <c r="CG143" s="311"/>
      <c r="CH143" s="310">
        <v>86932</v>
      </c>
      <c r="CI143" s="310">
        <v>44175</v>
      </c>
      <c r="CJ143" s="310"/>
      <c r="CK143" s="310"/>
      <c r="CL143" s="310"/>
      <c r="CM143" s="310"/>
      <c r="CN143" s="310"/>
      <c r="CO143" s="310"/>
      <c r="CP143" s="310"/>
      <c r="CQ143" s="311" t="s">
        <v>744</v>
      </c>
      <c r="CR143" s="311" t="s">
        <v>742</v>
      </c>
      <c r="CS143" s="311" t="s">
        <v>742</v>
      </c>
      <c r="CT143" s="311"/>
      <c r="CU143" s="311"/>
      <c r="CV143" s="311"/>
      <c r="CW143" s="311"/>
      <c r="CX143" s="311"/>
      <c r="CY143" s="311"/>
      <c r="CZ143" s="311"/>
      <c r="DA143" s="311"/>
      <c r="DB143" s="311"/>
      <c r="DC143" s="311"/>
      <c r="DD143" s="311"/>
      <c r="DE143" s="316"/>
      <c r="DF143" s="314"/>
      <c r="DG143" s="314"/>
      <c r="DH143" s="314"/>
      <c r="DI143" s="314"/>
      <c r="DJ143" s="314"/>
      <c r="DK143" s="314">
        <v>0</v>
      </c>
      <c r="DL143" s="314">
        <v>0</v>
      </c>
      <c r="DM143" s="314">
        <v>0</v>
      </c>
      <c r="DN143" s="314">
        <v>0</v>
      </c>
      <c r="DO143" s="314">
        <v>0</v>
      </c>
      <c r="DP143" s="314">
        <v>0</v>
      </c>
      <c r="DQ143" s="314">
        <v>0</v>
      </c>
      <c r="DR143" s="314">
        <v>25478</v>
      </c>
      <c r="DS143" s="314">
        <v>0</v>
      </c>
      <c r="DT143" s="314">
        <v>0</v>
      </c>
      <c r="DU143" s="314">
        <v>0</v>
      </c>
      <c r="DV143" s="314">
        <v>0</v>
      </c>
      <c r="DW143" s="314">
        <v>25478</v>
      </c>
      <c r="DX143" s="314">
        <v>0</v>
      </c>
      <c r="DY143" s="314">
        <v>25478</v>
      </c>
      <c r="DZ143" s="314">
        <v>0</v>
      </c>
      <c r="EA143" s="314">
        <v>25478</v>
      </c>
      <c r="EB143" s="314">
        <v>0</v>
      </c>
      <c r="EC143" s="317">
        <v>0</v>
      </c>
      <c r="ED143" s="317">
        <v>0</v>
      </c>
      <c r="EE143" s="317">
        <v>0</v>
      </c>
      <c r="EF143" s="317">
        <v>0</v>
      </c>
      <c r="EG143" s="317">
        <v>0</v>
      </c>
      <c r="EH143" s="317">
        <v>0</v>
      </c>
      <c r="EI143" s="317">
        <v>0</v>
      </c>
      <c r="EJ143" s="317">
        <v>1</v>
      </c>
      <c r="EK143" s="317">
        <v>0</v>
      </c>
      <c r="EL143" s="317">
        <v>0</v>
      </c>
      <c r="EM143" s="317">
        <v>0</v>
      </c>
      <c r="EN143" s="317">
        <v>0</v>
      </c>
      <c r="EO143" s="317">
        <v>1</v>
      </c>
      <c r="EP143" s="317">
        <v>0</v>
      </c>
      <c r="EQ143" s="317">
        <v>1</v>
      </c>
      <c r="ER143" s="317">
        <v>0</v>
      </c>
      <c r="ES143" s="317">
        <v>1</v>
      </c>
      <c r="ET143" s="317">
        <v>0</v>
      </c>
    </row>
    <row r="144" spans="1:150" x14ac:dyDescent="0.25">
      <c r="A144" s="310">
        <v>8468</v>
      </c>
      <c r="B144" s="310">
        <v>2023</v>
      </c>
      <c r="C144" s="310" t="s">
        <v>10</v>
      </c>
      <c r="D144" s="310" t="s">
        <v>989</v>
      </c>
      <c r="E144" s="310">
        <v>62597</v>
      </c>
      <c r="F144" s="310" t="s">
        <v>759</v>
      </c>
      <c r="G144" s="310">
        <v>15473</v>
      </c>
      <c r="H144" s="310" t="s">
        <v>823</v>
      </c>
      <c r="I144" s="310">
        <v>59300</v>
      </c>
      <c r="J144" s="310" t="s">
        <v>729</v>
      </c>
      <c r="K144" s="310" t="s">
        <v>760</v>
      </c>
      <c r="L144" s="310" t="s">
        <v>761</v>
      </c>
      <c r="M144" s="310" t="s">
        <v>732</v>
      </c>
      <c r="N144" s="310" t="s">
        <v>733</v>
      </c>
      <c r="O144" s="310" t="s">
        <v>734</v>
      </c>
      <c r="P144" s="310"/>
      <c r="Q144" s="310" t="s">
        <v>735</v>
      </c>
      <c r="R144" s="310" t="s">
        <v>786</v>
      </c>
      <c r="S144" s="310" t="s">
        <v>787</v>
      </c>
      <c r="T144" s="310">
        <v>34.692</v>
      </c>
      <c r="U144" s="310">
        <v>-106.688</v>
      </c>
      <c r="V144" s="310"/>
      <c r="W144" s="311">
        <v>1</v>
      </c>
      <c r="X144" s="311">
        <v>1</v>
      </c>
      <c r="Y144" s="310" t="s">
        <v>826</v>
      </c>
      <c r="Z144" s="310" t="s">
        <v>827</v>
      </c>
      <c r="AA144" s="310"/>
      <c r="AB144" s="312">
        <v>0.31741999999999998</v>
      </c>
      <c r="AC144" s="313">
        <v>10</v>
      </c>
      <c r="AD144" s="312"/>
      <c r="AE144" s="310"/>
      <c r="AF144" s="310"/>
      <c r="AG144" s="311"/>
      <c r="AH144" s="311"/>
      <c r="AI144" s="312"/>
      <c r="AJ144" s="310"/>
      <c r="AK144" s="314"/>
      <c r="AL144" s="314"/>
      <c r="AM144" s="314">
        <v>94873</v>
      </c>
      <c r="AN144" s="314">
        <v>48026</v>
      </c>
      <c r="AO144" s="314">
        <v>27806</v>
      </c>
      <c r="AP144" s="314">
        <v>14076</v>
      </c>
      <c r="AQ144" s="314"/>
      <c r="AR144" s="314"/>
      <c r="AS144" s="314"/>
      <c r="AT144" s="314"/>
      <c r="AU144" s="314"/>
      <c r="AV144" s="314"/>
      <c r="AW144" s="314"/>
      <c r="AX144" s="314"/>
      <c r="AY144" s="315"/>
      <c r="AZ144" s="315"/>
      <c r="BA144" s="315"/>
      <c r="BB144" s="315"/>
      <c r="BC144" s="315"/>
      <c r="BD144" s="315"/>
      <c r="BE144" s="315"/>
      <c r="BF144" s="315"/>
      <c r="BG144" s="315"/>
      <c r="BH144" s="315"/>
      <c r="BI144" s="315"/>
      <c r="BJ144" s="315"/>
      <c r="BK144" s="315"/>
      <c r="BL144" s="315"/>
      <c r="BM144" s="315"/>
      <c r="BN144" s="315"/>
      <c r="BO144" s="315"/>
      <c r="BP144" s="315"/>
      <c r="BQ144" s="315"/>
      <c r="BR144" s="315"/>
      <c r="BS144" s="315"/>
      <c r="BT144" s="315"/>
      <c r="BU144" s="315"/>
      <c r="BV144" s="315"/>
      <c r="BW144" s="311"/>
      <c r="BX144" s="311"/>
      <c r="BY144" s="311"/>
      <c r="BZ144" s="311"/>
      <c r="CA144" s="311"/>
      <c r="CB144" s="311"/>
      <c r="CC144" s="311"/>
      <c r="CD144" s="311"/>
      <c r="CE144" s="311"/>
      <c r="CF144" s="311"/>
      <c r="CG144" s="311"/>
      <c r="CH144" s="310">
        <v>94873</v>
      </c>
      <c r="CI144" s="310">
        <v>48026</v>
      </c>
      <c r="CJ144" s="310"/>
      <c r="CK144" s="310"/>
      <c r="CL144" s="310"/>
      <c r="CM144" s="310"/>
      <c r="CN144" s="310"/>
      <c r="CO144" s="310"/>
      <c r="CP144" s="310"/>
      <c r="CQ144" s="311" t="s">
        <v>744</v>
      </c>
      <c r="CR144" s="311" t="s">
        <v>742</v>
      </c>
      <c r="CS144" s="311" t="s">
        <v>742</v>
      </c>
      <c r="CT144" s="311"/>
      <c r="CU144" s="311"/>
      <c r="CV144" s="311"/>
      <c r="CW144" s="311"/>
      <c r="CX144" s="311"/>
      <c r="CY144" s="311"/>
      <c r="CZ144" s="311"/>
      <c r="DA144" s="311"/>
      <c r="DB144" s="311"/>
      <c r="DC144" s="311"/>
      <c r="DD144" s="311"/>
      <c r="DE144" s="316"/>
      <c r="DF144" s="314"/>
      <c r="DG144" s="314"/>
      <c r="DH144" s="314"/>
      <c r="DI144" s="314"/>
      <c r="DJ144" s="314"/>
      <c r="DK144" s="314">
        <v>0</v>
      </c>
      <c r="DL144" s="314">
        <v>0</v>
      </c>
      <c r="DM144" s="314">
        <v>0</v>
      </c>
      <c r="DN144" s="314">
        <v>0</v>
      </c>
      <c r="DO144" s="314">
        <v>0</v>
      </c>
      <c r="DP144" s="314">
        <v>0</v>
      </c>
      <c r="DQ144" s="314">
        <v>0</v>
      </c>
      <c r="DR144" s="314">
        <v>27806</v>
      </c>
      <c r="DS144" s="314">
        <v>0</v>
      </c>
      <c r="DT144" s="314">
        <v>0</v>
      </c>
      <c r="DU144" s="314">
        <v>0</v>
      </c>
      <c r="DV144" s="314">
        <v>0</v>
      </c>
      <c r="DW144" s="314">
        <v>27806</v>
      </c>
      <c r="DX144" s="314">
        <v>0</v>
      </c>
      <c r="DY144" s="314">
        <v>27806</v>
      </c>
      <c r="DZ144" s="314">
        <v>0</v>
      </c>
      <c r="EA144" s="314">
        <v>27806</v>
      </c>
      <c r="EB144" s="314">
        <v>0</v>
      </c>
      <c r="EC144" s="317">
        <v>0</v>
      </c>
      <c r="ED144" s="317">
        <v>0</v>
      </c>
      <c r="EE144" s="317">
        <v>0</v>
      </c>
      <c r="EF144" s="317">
        <v>0</v>
      </c>
      <c r="EG144" s="317">
        <v>0</v>
      </c>
      <c r="EH144" s="317">
        <v>0</v>
      </c>
      <c r="EI144" s="317">
        <v>0</v>
      </c>
      <c r="EJ144" s="317">
        <v>1</v>
      </c>
      <c r="EK144" s="317">
        <v>0</v>
      </c>
      <c r="EL144" s="317">
        <v>0</v>
      </c>
      <c r="EM144" s="317">
        <v>0</v>
      </c>
      <c r="EN144" s="317">
        <v>0</v>
      </c>
      <c r="EO144" s="317">
        <v>1</v>
      </c>
      <c r="EP144" s="317">
        <v>0</v>
      </c>
      <c r="EQ144" s="317">
        <v>1</v>
      </c>
      <c r="ER144" s="317">
        <v>0</v>
      </c>
      <c r="ES144" s="317">
        <v>1</v>
      </c>
      <c r="ET144" s="317">
        <v>0</v>
      </c>
    </row>
    <row r="145" spans="1:150" x14ac:dyDescent="0.25">
      <c r="A145" s="310">
        <v>8470</v>
      </c>
      <c r="B145" s="310">
        <v>2023</v>
      </c>
      <c r="C145" s="310" t="s">
        <v>10</v>
      </c>
      <c r="D145" s="310" t="s">
        <v>990</v>
      </c>
      <c r="E145" s="310">
        <v>58589</v>
      </c>
      <c r="F145" s="310" t="s">
        <v>759</v>
      </c>
      <c r="G145" s="310">
        <v>15473</v>
      </c>
      <c r="H145" s="310" t="s">
        <v>949</v>
      </c>
      <c r="I145" s="310">
        <v>63249</v>
      </c>
      <c r="J145" s="310" t="s">
        <v>748</v>
      </c>
      <c r="K145" s="310" t="s">
        <v>760</v>
      </c>
      <c r="L145" s="310" t="s">
        <v>761</v>
      </c>
      <c r="M145" s="310" t="s">
        <v>732</v>
      </c>
      <c r="N145" s="310" t="s">
        <v>733</v>
      </c>
      <c r="O145" s="310" t="s">
        <v>734</v>
      </c>
      <c r="P145" s="310"/>
      <c r="Q145" s="310" t="s">
        <v>735</v>
      </c>
      <c r="R145" s="310" t="s">
        <v>832</v>
      </c>
      <c r="S145" s="310" t="s">
        <v>833</v>
      </c>
      <c r="T145" s="310">
        <v>35.264443999999997</v>
      </c>
      <c r="U145" s="310">
        <v>-106.667778</v>
      </c>
      <c r="V145" s="310"/>
      <c r="W145" s="311">
        <v>1</v>
      </c>
      <c r="X145" s="311">
        <v>1</v>
      </c>
      <c r="Y145" s="310" t="s">
        <v>826</v>
      </c>
      <c r="Z145" s="310" t="s">
        <v>827</v>
      </c>
      <c r="AA145" s="310"/>
      <c r="AB145" s="312">
        <v>0.26027</v>
      </c>
      <c r="AC145" s="313">
        <v>1</v>
      </c>
      <c r="AD145" s="312"/>
      <c r="AE145" s="310"/>
      <c r="AF145" s="310"/>
      <c r="AG145" s="311"/>
      <c r="AH145" s="311"/>
      <c r="AI145" s="312"/>
      <c r="AJ145" s="310"/>
      <c r="AK145" s="314"/>
      <c r="AL145" s="314"/>
      <c r="AM145" s="314">
        <v>7780</v>
      </c>
      <c r="AN145" s="314">
        <v>3801</v>
      </c>
      <c r="AO145" s="314">
        <v>2280</v>
      </c>
      <c r="AP145" s="314">
        <v>1114</v>
      </c>
      <c r="AQ145" s="314"/>
      <c r="AR145" s="314"/>
      <c r="AS145" s="314"/>
      <c r="AT145" s="314"/>
      <c r="AU145" s="314"/>
      <c r="AV145" s="314"/>
      <c r="AW145" s="314"/>
      <c r="AX145" s="314"/>
      <c r="AY145" s="315"/>
      <c r="AZ145" s="315"/>
      <c r="BA145" s="315"/>
      <c r="BB145" s="315"/>
      <c r="BC145" s="315"/>
      <c r="BD145" s="315"/>
      <c r="BE145" s="315"/>
      <c r="BF145" s="315"/>
      <c r="BG145" s="315"/>
      <c r="BH145" s="315"/>
      <c r="BI145" s="315"/>
      <c r="BJ145" s="315"/>
      <c r="BK145" s="315"/>
      <c r="BL145" s="315"/>
      <c r="BM145" s="315"/>
      <c r="BN145" s="315"/>
      <c r="BO145" s="315"/>
      <c r="BP145" s="315"/>
      <c r="BQ145" s="315"/>
      <c r="BR145" s="315"/>
      <c r="BS145" s="315"/>
      <c r="BT145" s="315"/>
      <c r="BU145" s="315"/>
      <c r="BV145" s="315"/>
      <c r="BW145" s="311"/>
      <c r="BX145" s="311"/>
      <c r="BY145" s="311"/>
      <c r="BZ145" s="311"/>
      <c r="CA145" s="311"/>
      <c r="CB145" s="311"/>
      <c r="CC145" s="311"/>
      <c r="CD145" s="311"/>
      <c r="CE145" s="311"/>
      <c r="CF145" s="311"/>
      <c r="CG145" s="311"/>
      <c r="CH145" s="310">
        <v>7780</v>
      </c>
      <c r="CI145" s="310">
        <v>3801</v>
      </c>
      <c r="CJ145" s="310"/>
      <c r="CK145" s="310"/>
      <c r="CL145" s="310"/>
      <c r="CM145" s="310"/>
      <c r="CN145" s="310"/>
      <c r="CO145" s="310"/>
      <c r="CP145" s="310"/>
      <c r="CQ145" s="311" t="s">
        <v>744</v>
      </c>
      <c r="CR145" s="311" t="s">
        <v>742</v>
      </c>
      <c r="CS145" s="311" t="s">
        <v>742</v>
      </c>
      <c r="CT145" s="311"/>
      <c r="CU145" s="311"/>
      <c r="CV145" s="311"/>
      <c r="CW145" s="311"/>
      <c r="CX145" s="311"/>
      <c r="CY145" s="311"/>
      <c r="CZ145" s="311"/>
      <c r="DA145" s="311"/>
      <c r="DB145" s="311"/>
      <c r="DC145" s="311"/>
      <c r="DD145" s="311"/>
      <c r="DE145" s="316"/>
      <c r="DF145" s="314"/>
      <c r="DG145" s="314"/>
      <c r="DH145" s="314"/>
      <c r="DI145" s="314"/>
      <c r="DJ145" s="314"/>
      <c r="DK145" s="314">
        <v>0</v>
      </c>
      <c r="DL145" s="314">
        <v>0</v>
      </c>
      <c r="DM145" s="314">
        <v>0</v>
      </c>
      <c r="DN145" s="314">
        <v>0</v>
      </c>
      <c r="DO145" s="314">
        <v>0</v>
      </c>
      <c r="DP145" s="314">
        <v>0</v>
      </c>
      <c r="DQ145" s="314">
        <v>0</v>
      </c>
      <c r="DR145" s="314">
        <v>2280</v>
      </c>
      <c r="DS145" s="314">
        <v>0</v>
      </c>
      <c r="DT145" s="314">
        <v>0</v>
      </c>
      <c r="DU145" s="314">
        <v>0</v>
      </c>
      <c r="DV145" s="314">
        <v>0</v>
      </c>
      <c r="DW145" s="314">
        <v>2280</v>
      </c>
      <c r="DX145" s="314">
        <v>0</v>
      </c>
      <c r="DY145" s="314">
        <v>2280</v>
      </c>
      <c r="DZ145" s="314">
        <v>0</v>
      </c>
      <c r="EA145" s="314">
        <v>2280</v>
      </c>
      <c r="EB145" s="314">
        <v>0</v>
      </c>
      <c r="EC145" s="317">
        <v>0</v>
      </c>
      <c r="ED145" s="317">
        <v>0</v>
      </c>
      <c r="EE145" s="317">
        <v>0</v>
      </c>
      <c r="EF145" s="317">
        <v>0</v>
      </c>
      <c r="EG145" s="317">
        <v>0</v>
      </c>
      <c r="EH145" s="317">
        <v>0</v>
      </c>
      <c r="EI145" s="317">
        <v>0</v>
      </c>
      <c r="EJ145" s="317">
        <v>1</v>
      </c>
      <c r="EK145" s="317">
        <v>0</v>
      </c>
      <c r="EL145" s="317">
        <v>0</v>
      </c>
      <c r="EM145" s="317">
        <v>0</v>
      </c>
      <c r="EN145" s="317">
        <v>0</v>
      </c>
      <c r="EO145" s="317">
        <v>1</v>
      </c>
      <c r="EP145" s="317">
        <v>0</v>
      </c>
      <c r="EQ145" s="317">
        <v>1</v>
      </c>
      <c r="ER145" s="317">
        <v>0</v>
      </c>
      <c r="ES145" s="317">
        <v>1</v>
      </c>
      <c r="ET145" s="317">
        <v>0</v>
      </c>
    </row>
    <row r="146" spans="1:150" x14ac:dyDescent="0.25">
      <c r="A146" s="310">
        <v>8471</v>
      </c>
      <c r="B146" s="310">
        <v>2023</v>
      </c>
      <c r="C146" s="310" t="s">
        <v>10</v>
      </c>
      <c r="D146" s="310" t="s">
        <v>991</v>
      </c>
      <c r="E146" s="310">
        <v>63184</v>
      </c>
      <c r="F146" s="310" t="s">
        <v>759</v>
      </c>
      <c r="G146" s="310">
        <v>15473</v>
      </c>
      <c r="H146" s="310" t="s">
        <v>823</v>
      </c>
      <c r="I146" s="310">
        <v>59300</v>
      </c>
      <c r="J146" s="310" t="s">
        <v>729</v>
      </c>
      <c r="K146" s="310" t="s">
        <v>760</v>
      </c>
      <c r="L146" s="310" t="s">
        <v>761</v>
      </c>
      <c r="M146" s="310" t="s">
        <v>732</v>
      </c>
      <c r="N146" s="310" t="s">
        <v>733</v>
      </c>
      <c r="O146" s="310" t="s">
        <v>734</v>
      </c>
      <c r="P146" s="310"/>
      <c r="Q146" s="310" t="s">
        <v>735</v>
      </c>
      <c r="R146" s="310" t="s">
        <v>772</v>
      </c>
      <c r="S146" s="310" t="s">
        <v>773</v>
      </c>
      <c r="T146" s="310">
        <v>35.104759999999999</v>
      </c>
      <c r="U146" s="310">
        <v>-106.48237</v>
      </c>
      <c r="V146" s="310"/>
      <c r="W146" s="311">
        <v>1</v>
      </c>
      <c r="X146" s="311">
        <v>1</v>
      </c>
      <c r="Y146" s="310" t="s">
        <v>826</v>
      </c>
      <c r="Z146" s="310" t="s">
        <v>827</v>
      </c>
      <c r="AA146" s="310"/>
      <c r="AB146" s="312">
        <v>0.29199999999999998</v>
      </c>
      <c r="AC146" s="313">
        <v>10</v>
      </c>
      <c r="AD146" s="312"/>
      <c r="AE146" s="310"/>
      <c r="AF146" s="310"/>
      <c r="AG146" s="311"/>
      <c r="AH146" s="311"/>
      <c r="AI146" s="312"/>
      <c r="AJ146" s="310"/>
      <c r="AK146" s="314"/>
      <c r="AL146" s="314"/>
      <c r="AM146" s="314">
        <v>87277</v>
      </c>
      <c r="AN146" s="314">
        <v>40450</v>
      </c>
      <c r="AO146" s="314">
        <v>25579</v>
      </c>
      <c r="AP146" s="314">
        <v>11855</v>
      </c>
      <c r="AQ146" s="314"/>
      <c r="AR146" s="314"/>
      <c r="AS146" s="314"/>
      <c r="AT146" s="314"/>
      <c r="AU146" s="314"/>
      <c r="AV146" s="314"/>
      <c r="AW146" s="314"/>
      <c r="AX146" s="314"/>
      <c r="AY146" s="315"/>
      <c r="AZ146" s="315"/>
      <c r="BA146" s="315"/>
      <c r="BB146" s="315"/>
      <c r="BC146" s="315"/>
      <c r="BD146" s="315"/>
      <c r="BE146" s="315"/>
      <c r="BF146" s="315"/>
      <c r="BG146" s="315"/>
      <c r="BH146" s="315"/>
      <c r="BI146" s="315"/>
      <c r="BJ146" s="315"/>
      <c r="BK146" s="315"/>
      <c r="BL146" s="315"/>
      <c r="BM146" s="315"/>
      <c r="BN146" s="315"/>
      <c r="BO146" s="315"/>
      <c r="BP146" s="315"/>
      <c r="BQ146" s="315"/>
      <c r="BR146" s="315"/>
      <c r="BS146" s="315"/>
      <c r="BT146" s="315"/>
      <c r="BU146" s="315"/>
      <c r="BV146" s="315"/>
      <c r="BW146" s="311"/>
      <c r="BX146" s="311"/>
      <c r="BY146" s="311"/>
      <c r="BZ146" s="311"/>
      <c r="CA146" s="311"/>
      <c r="CB146" s="311"/>
      <c r="CC146" s="311"/>
      <c r="CD146" s="311"/>
      <c r="CE146" s="311"/>
      <c r="CF146" s="311"/>
      <c r="CG146" s="311"/>
      <c r="CH146" s="310">
        <v>87277</v>
      </c>
      <c r="CI146" s="310">
        <v>40450</v>
      </c>
      <c r="CJ146" s="310"/>
      <c r="CK146" s="310"/>
      <c r="CL146" s="310"/>
      <c r="CM146" s="310"/>
      <c r="CN146" s="310"/>
      <c r="CO146" s="310"/>
      <c r="CP146" s="310"/>
      <c r="CQ146" s="311" t="s">
        <v>744</v>
      </c>
      <c r="CR146" s="311" t="s">
        <v>742</v>
      </c>
      <c r="CS146" s="311" t="s">
        <v>742</v>
      </c>
      <c r="CT146" s="311"/>
      <c r="CU146" s="311"/>
      <c r="CV146" s="311"/>
      <c r="CW146" s="311"/>
      <c r="CX146" s="311"/>
      <c r="CY146" s="311"/>
      <c r="CZ146" s="311"/>
      <c r="DA146" s="311"/>
      <c r="DB146" s="311"/>
      <c r="DC146" s="311"/>
      <c r="DD146" s="311"/>
      <c r="DE146" s="316"/>
      <c r="DF146" s="314"/>
      <c r="DG146" s="314"/>
      <c r="DH146" s="314"/>
      <c r="DI146" s="314"/>
      <c r="DJ146" s="314"/>
      <c r="DK146" s="314">
        <v>0</v>
      </c>
      <c r="DL146" s="314">
        <v>0</v>
      </c>
      <c r="DM146" s="314">
        <v>0</v>
      </c>
      <c r="DN146" s="314">
        <v>0</v>
      </c>
      <c r="DO146" s="314">
        <v>0</v>
      </c>
      <c r="DP146" s="314">
        <v>0</v>
      </c>
      <c r="DQ146" s="314">
        <v>0</v>
      </c>
      <c r="DR146" s="314">
        <v>25579</v>
      </c>
      <c r="DS146" s="314">
        <v>0</v>
      </c>
      <c r="DT146" s="314">
        <v>0</v>
      </c>
      <c r="DU146" s="314">
        <v>0</v>
      </c>
      <c r="DV146" s="314">
        <v>0</v>
      </c>
      <c r="DW146" s="314">
        <v>25579</v>
      </c>
      <c r="DX146" s="314">
        <v>0</v>
      </c>
      <c r="DY146" s="314">
        <v>25579</v>
      </c>
      <c r="DZ146" s="314">
        <v>0</v>
      </c>
      <c r="EA146" s="314">
        <v>25579</v>
      </c>
      <c r="EB146" s="314">
        <v>0</v>
      </c>
      <c r="EC146" s="317">
        <v>0</v>
      </c>
      <c r="ED146" s="317">
        <v>0</v>
      </c>
      <c r="EE146" s="317">
        <v>0</v>
      </c>
      <c r="EF146" s="317">
        <v>0</v>
      </c>
      <c r="EG146" s="317">
        <v>0</v>
      </c>
      <c r="EH146" s="317">
        <v>0</v>
      </c>
      <c r="EI146" s="317">
        <v>0</v>
      </c>
      <c r="EJ146" s="317">
        <v>1</v>
      </c>
      <c r="EK146" s="317">
        <v>0</v>
      </c>
      <c r="EL146" s="317">
        <v>0</v>
      </c>
      <c r="EM146" s="317">
        <v>0</v>
      </c>
      <c r="EN146" s="317">
        <v>0</v>
      </c>
      <c r="EO146" s="317">
        <v>1</v>
      </c>
      <c r="EP146" s="317">
        <v>0</v>
      </c>
      <c r="EQ146" s="317">
        <v>1</v>
      </c>
      <c r="ER146" s="317">
        <v>0</v>
      </c>
      <c r="ES146" s="317">
        <v>1</v>
      </c>
      <c r="ET146" s="317">
        <v>0</v>
      </c>
    </row>
    <row r="147" spans="1:150" x14ac:dyDescent="0.25">
      <c r="A147" s="310">
        <v>8472</v>
      </c>
      <c r="B147" s="310">
        <v>2023</v>
      </c>
      <c r="C147" s="310" t="s">
        <v>10</v>
      </c>
      <c r="D147" s="310" t="s">
        <v>992</v>
      </c>
      <c r="E147" s="310">
        <v>57338</v>
      </c>
      <c r="F147" s="310" t="s">
        <v>758</v>
      </c>
      <c r="G147" s="310">
        <v>5701</v>
      </c>
      <c r="H147" s="310" t="s">
        <v>993</v>
      </c>
      <c r="I147" s="310">
        <v>59400</v>
      </c>
      <c r="J147" s="310" t="s">
        <v>748</v>
      </c>
      <c r="K147" s="310" t="s">
        <v>769</v>
      </c>
      <c r="L147" s="310" t="s">
        <v>770</v>
      </c>
      <c r="M147" s="310" t="s">
        <v>732</v>
      </c>
      <c r="N147" s="310" t="s">
        <v>733</v>
      </c>
      <c r="O147" s="310" t="s">
        <v>734</v>
      </c>
      <c r="P147" s="310"/>
      <c r="Q147" s="310" t="s">
        <v>735</v>
      </c>
      <c r="R147" s="310" t="s">
        <v>766</v>
      </c>
      <c r="S147" s="310" t="s">
        <v>767</v>
      </c>
      <c r="T147" s="310">
        <v>31.792777999999998</v>
      </c>
      <c r="U147" s="310">
        <v>-106.673333</v>
      </c>
      <c r="V147" s="310"/>
      <c r="W147" s="311">
        <v>1</v>
      </c>
      <c r="X147" s="311">
        <v>1</v>
      </c>
      <c r="Y147" s="310" t="s">
        <v>826</v>
      </c>
      <c r="Z147" s="310" t="s">
        <v>827</v>
      </c>
      <c r="AA147" s="310"/>
      <c r="AB147" s="312">
        <v>0.41009000000000001</v>
      </c>
      <c r="AC147" s="313">
        <v>20.2</v>
      </c>
      <c r="AD147" s="312"/>
      <c r="AE147" s="310"/>
      <c r="AF147" s="310"/>
      <c r="AG147" s="311"/>
      <c r="AH147" s="311"/>
      <c r="AI147" s="312"/>
      <c r="AJ147" s="310"/>
      <c r="AK147" s="314"/>
      <c r="AL147" s="314"/>
      <c r="AM147" s="314">
        <v>247598</v>
      </c>
      <c r="AN147" s="314">
        <v>84409</v>
      </c>
      <c r="AO147" s="314">
        <v>72567</v>
      </c>
      <c r="AP147" s="314">
        <v>24739</v>
      </c>
      <c r="AQ147" s="314"/>
      <c r="AR147" s="314"/>
      <c r="AS147" s="314"/>
      <c r="AT147" s="314"/>
      <c r="AU147" s="314"/>
      <c r="AV147" s="314"/>
      <c r="AW147" s="314"/>
      <c r="AX147" s="314"/>
      <c r="AY147" s="315"/>
      <c r="AZ147" s="315"/>
      <c r="BA147" s="315"/>
      <c r="BB147" s="315"/>
      <c r="BC147" s="315"/>
      <c r="BD147" s="315"/>
      <c r="BE147" s="315"/>
      <c r="BF147" s="315"/>
      <c r="BG147" s="315"/>
      <c r="BH147" s="315"/>
      <c r="BI147" s="315"/>
      <c r="BJ147" s="315"/>
      <c r="BK147" s="315"/>
      <c r="BL147" s="315"/>
      <c r="BM147" s="315"/>
      <c r="BN147" s="315"/>
      <c r="BO147" s="315"/>
      <c r="BP147" s="315"/>
      <c r="BQ147" s="315"/>
      <c r="BR147" s="315"/>
      <c r="BS147" s="315"/>
      <c r="BT147" s="315"/>
      <c r="BU147" s="315"/>
      <c r="BV147" s="315"/>
      <c r="BW147" s="311"/>
      <c r="BX147" s="311"/>
      <c r="BY147" s="311"/>
      <c r="BZ147" s="311"/>
      <c r="CA147" s="311"/>
      <c r="CB147" s="311"/>
      <c r="CC147" s="311"/>
      <c r="CD147" s="311"/>
      <c r="CE147" s="311"/>
      <c r="CF147" s="311"/>
      <c r="CG147" s="311"/>
      <c r="CH147" s="310">
        <v>247598</v>
      </c>
      <c r="CI147" s="310">
        <v>84409</v>
      </c>
      <c r="CJ147" s="310"/>
      <c r="CK147" s="310"/>
      <c r="CL147" s="310"/>
      <c r="CM147" s="310"/>
      <c r="CN147" s="310"/>
      <c r="CO147" s="310"/>
      <c r="CP147" s="310"/>
      <c r="CQ147" s="311" t="s">
        <v>744</v>
      </c>
      <c r="CR147" s="311" t="s">
        <v>742</v>
      </c>
      <c r="CS147" s="311" t="s">
        <v>742</v>
      </c>
      <c r="CT147" s="311"/>
      <c r="CU147" s="311"/>
      <c r="CV147" s="311"/>
      <c r="CW147" s="311"/>
      <c r="CX147" s="311"/>
      <c r="CY147" s="311"/>
      <c r="CZ147" s="311"/>
      <c r="DA147" s="311"/>
      <c r="DB147" s="311"/>
      <c r="DC147" s="311"/>
      <c r="DD147" s="311"/>
      <c r="DE147" s="316"/>
      <c r="DF147" s="314"/>
      <c r="DG147" s="314"/>
      <c r="DH147" s="314"/>
      <c r="DI147" s="314"/>
      <c r="DJ147" s="314"/>
      <c r="DK147" s="314">
        <v>0</v>
      </c>
      <c r="DL147" s="314">
        <v>0</v>
      </c>
      <c r="DM147" s="314">
        <v>0</v>
      </c>
      <c r="DN147" s="314">
        <v>0</v>
      </c>
      <c r="DO147" s="314">
        <v>0</v>
      </c>
      <c r="DP147" s="314">
        <v>0</v>
      </c>
      <c r="DQ147" s="314">
        <v>0</v>
      </c>
      <c r="DR147" s="314">
        <v>72567</v>
      </c>
      <c r="DS147" s="314">
        <v>0</v>
      </c>
      <c r="DT147" s="314">
        <v>0</v>
      </c>
      <c r="DU147" s="314">
        <v>0</v>
      </c>
      <c r="DV147" s="314">
        <v>0</v>
      </c>
      <c r="DW147" s="314">
        <v>72567</v>
      </c>
      <c r="DX147" s="314">
        <v>0</v>
      </c>
      <c r="DY147" s="314">
        <v>72567</v>
      </c>
      <c r="DZ147" s="314">
        <v>0</v>
      </c>
      <c r="EA147" s="314">
        <v>72567</v>
      </c>
      <c r="EB147" s="314">
        <v>0</v>
      </c>
      <c r="EC147" s="317">
        <v>0</v>
      </c>
      <c r="ED147" s="317">
        <v>0</v>
      </c>
      <c r="EE147" s="317">
        <v>0</v>
      </c>
      <c r="EF147" s="317">
        <v>0</v>
      </c>
      <c r="EG147" s="317">
        <v>0</v>
      </c>
      <c r="EH147" s="317">
        <v>0</v>
      </c>
      <c r="EI147" s="317">
        <v>0</v>
      </c>
      <c r="EJ147" s="317">
        <v>1</v>
      </c>
      <c r="EK147" s="317">
        <v>0</v>
      </c>
      <c r="EL147" s="317">
        <v>0</v>
      </c>
      <c r="EM147" s="317">
        <v>0</v>
      </c>
      <c r="EN147" s="317">
        <v>0</v>
      </c>
      <c r="EO147" s="317">
        <v>1</v>
      </c>
      <c r="EP147" s="317">
        <v>0</v>
      </c>
      <c r="EQ147" s="317">
        <v>1</v>
      </c>
      <c r="ER147" s="317">
        <v>0</v>
      </c>
      <c r="ES147" s="317">
        <v>1</v>
      </c>
      <c r="ET147" s="317">
        <v>0</v>
      </c>
    </row>
    <row r="148" spans="1:150" x14ac:dyDescent="0.25">
      <c r="A148" s="310">
        <v>8473</v>
      </c>
      <c r="B148" s="310">
        <v>2023</v>
      </c>
      <c r="C148" s="310" t="s">
        <v>10</v>
      </c>
      <c r="D148" s="310" t="s">
        <v>994</v>
      </c>
      <c r="E148" s="310">
        <v>58771</v>
      </c>
      <c r="F148" s="310" t="s">
        <v>746</v>
      </c>
      <c r="G148" s="310">
        <v>17718</v>
      </c>
      <c r="H148" s="310" t="s">
        <v>970</v>
      </c>
      <c r="I148" s="310">
        <v>66100</v>
      </c>
      <c r="J148" s="310" t="s">
        <v>748</v>
      </c>
      <c r="K148" s="310" t="s">
        <v>749</v>
      </c>
      <c r="L148" s="310" t="s">
        <v>750</v>
      </c>
      <c r="M148" s="310" t="s">
        <v>751</v>
      </c>
      <c r="N148" s="310" t="s">
        <v>752</v>
      </c>
      <c r="O148" s="310" t="s">
        <v>753</v>
      </c>
      <c r="P148" s="310"/>
      <c r="Q148" s="310" t="s">
        <v>735</v>
      </c>
      <c r="R148" s="310" t="s">
        <v>971</v>
      </c>
      <c r="S148" s="310" t="s">
        <v>972</v>
      </c>
      <c r="T148" s="310">
        <v>33.926110999999999</v>
      </c>
      <c r="U148" s="310">
        <v>-103.511111</v>
      </c>
      <c r="V148" s="310"/>
      <c r="W148" s="311">
        <v>1</v>
      </c>
      <c r="X148" s="311">
        <v>1</v>
      </c>
      <c r="Y148" s="310" t="s">
        <v>840</v>
      </c>
      <c r="Z148" s="310" t="s">
        <v>841</v>
      </c>
      <c r="AA148" s="310"/>
      <c r="AB148" s="312">
        <v>0.47439999999999999</v>
      </c>
      <c r="AC148" s="313">
        <v>250</v>
      </c>
      <c r="AD148" s="312"/>
      <c r="AE148" s="310"/>
      <c r="AF148" s="310"/>
      <c r="AG148" s="311"/>
      <c r="AH148" s="311"/>
      <c r="AI148" s="312"/>
      <c r="AJ148" s="310"/>
      <c r="AK148" s="314"/>
      <c r="AL148" s="314"/>
      <c r="AM148" s="314">
        <v>3544833</v>
      </c>
      <c r="AN148" s="314">
        <v>1275344</v>
      </c>
      <c r="AO148" s="314">
        <v>1038931</v>
      </c>
      <c r="AP148" s="314">
        <v>373782</v>
      </c>
      <c r="AQ148" s="314"/>
      <c r="AR148" s="314"/>
      <c r="AS148" s="314"/>
      <c r="AT148" s="314"/>
      <c r="AU148" s="314"/>
      <c r="AV148" s="314"/>
      <c r="AW148" s="314"/>
      <c r="AX148" s="314"/>
      <c r="AY148" s="315"/>
      <c r="AZ148" s="315"/>
      <c r="BA148" s="315"/>
      <c r="BB148" s="315"/>
      <c r="BC148" s="315"/>
      <c r="BD148" s="315"/>
      <c r="BE148" s="315"/>
      <c r="BF148" s="315"/>
      <c r="BG148" s="315"/>
      <c r="BH148" s="315"/>
      <c r="BI148" s="315"/>
      <c r="BJ148" s="315"/>
      <c r="BK148" s="315"/>
      <c r="BL148" s="315"/>
      <c r="BM148" s="315"/>
      <c r="BN148" s="315"/>
      <c r="BO148" s="315"/>
      <c r="BP148" s="315"/>
      <c r="BQ148" s="315"/>
      <c r="BR148" s="315"/>
      <c r="BS148" s="315"/>
      <c r="BT148" s="315"/>
      <c r="BU148" s="315"/>
      <c r="BV148" s="315"/>
      <c r="BW148" s="311"/>
      <c r="BX148" s="311"/>
      <c r="BY148" s="311"/>
      <c r="BZ148" s="311"/>
      <c r="CA148" s="311"/>
      <c r="CB148" s="311"/>
      <c r="CC148" s="311"/>
      <c r="CD148" s="311"/>
      <c r="CE148" s="311"/>
      <c r="CF148" s="311"/>
      <c r="CG148" s="311"/>
      <c r="CH148" s="310">
        <v>3544833</v>
      </c>
      <c r="CI148" s="310">
        <v>1275344</v>
      </c>
      <c r="CJ148" s="310"/>
      <c r="CK148" s="310"/>
      <c r="CL148" s="310"/>
      <c r="CM148" s="310"/>
      <c r="CN148" s="310"/>
      <c r="CO148" s="310"/>
      <c r="CP148" s="310"/>
      <c r="CQ148" s="311" t="s">
        <v>744</v>
      </c>
      <c r="CR148" s="311" t="s">
        <v>742</v>
      </c>
      <c r="CS148" s="311" t="s">
        <v>742</v>
      </c>
      <c r="CT148" s="311"/>
      <c r="CU148" s="311"/>
      <c r="CV148" s="311"/>
      <c r="CW148" s="311"/>
      <c r="CX148" s="311"/>
      <c r="CY148" s="311"/>
      <c r="CZ148" s="311"/>
      <c r="DA148" s="311"/>
      <c r="DB148" s="311"/>
      <c r="DC148" s="311"/>
      <c r="DD148" s="311"/>
      <c r="DE148" s="316"/>
      <c r="DF148" s="314"/>
      <c r="DG148" s="314"/>
      <c r="DH148" s="314"/>
      <c r="DI148" s="314"/>
      <c r="DJ148" s="314"/>
      <c r="DK148" s="314">
        <v>0</v>
      </c>
      <c r="DL148" s="314">
        <v>0</v>
      </c>
      <c r="DM148" s="314">
        <v>0</v>
      </c>
      <c r="DN148" s="314">
        <v>0</v>
      </c>
      <c r="DO148" s="314">
        <v>0</v>
      </c>
      <c r="DP148" s="314">
        <v>0</v>
      </c>
      <c r="DQ148" s="314">
        <v>1038931</v>
      </c>
      <c r="DR148" s="314">
        <v>0</v>
      </c>
      <c r="DS148" s="314">
        <v>0</v>
      </c>
      <c r="DT148" s="314">
        <v>0</v>
      </c>
      <c r="DU148" s="314">
        <v>0</v>
      </c>
      <c r="DV148" s="314">
        <v>0</v>
      </c>
      <c r="DW148" s="314">
        <v>1038931</v>
      </c>
      <c r="DX148" s="314">
        <v>0</v>
      </c>
      <c r="DY148" s="314">
        <v>1038931</v>
      </c>
      <c r="DZ148" s="314">
        <v>0</v>
      </c>
      <c r="EA148" s="314">
        <v>1038931</v>
      </c>
      <c r="EB148" s="314">
        <v>0</v>
      </c>
      <c r="EC148" s="317">
        <v>0</v>
      </c>
      <c r="ED148" s="317">
        <v>0</v>
      </c>
      <c r="EE148" s="317">
        <v>0</v>
      </c>
      <c r="EF148" s="317">
        <v>0</v>
      </c>
      <c r="EG148" s="317">
        <v>0</v>
      </c>
      <c r="EH148" s="317">
        <v>0</v>
      </c>
      <c r="EI148" s="317">
        <v>1</v>
      </c>
      <c r="EJ148" s="317">
        <v>0</v>
      </c>
      <c r="EK148" s="317">
        <v>0</v>
      </c>
      <c r="EL148" s="317">
        <v>0</v>
      </c>
      <c r="EM148" s="317">
        <v>0</v>
      </c>
      <c r="EN148" s="317">
        <v>0</v>
      </c>
      <c r="EO148" s="317">
        <v>1</v>
      </c>
      <c r="EP148" s="317">
        <v>0</v>
      </c>
      <c r="EQ148" s="317">
        <v>1</v>
      </c>
      <c r="ER148" s="317">
        <v>0</v>
      </c>
      <c r="ES148" s="317">
        <v>1</v>
      </c>
      <c r="ET148" s="317">
        <v>0</v>
      </c>
    </row>
    <row r="149" spans="1:150" x14ac:dyDescent="0.25">
      <c r="A149" s="310">
        <v>8474</v>
      </c>
      <c r="B149" s="310">
        <v>2023</v>
      </c>
      <c r="C149" s="310" t="s">
        <v>10</v>
      </c>
      <c r="D149" s="310" t="s">
        <v>995</v>
      </c>
      <c r="E149" s="310">
        <v>60406</v>
      </c>
      <c r="F149" s="310" t="s">
        <v>746</v>
      </c>
      <c r="G149" s="310">
        <v>17718</v>
      </c>
      <c r="H149" s="310" t="s">
        <v>995</v>
      </c>
      <c r="I149" s="310">
        <v>60209</v>
      </c>
      <c r="J149" s="310" t="s">
        <v>748</v>
      </c>
      <c r="K149" s="310" t="s">
        <v>749</v>
      </c>
      <c r="L149" s="310" t="s">
        <v>750</v>
      </c>
      <c r="M149" s="310" t="s">
        <v>751</v>
      </c>
      <c r="N149" s="310" t="s">
        <v>752</v>
      </c>
      <c r="O149" s="310" t="s">
        <v>753</v>
      </c>
      <c r="P149" s="310"/>
      <c r="Q149" s="310" t="s">
        <v>735</v>
      </c>
      <c r="R149" s="310" t="s">
        <v>838</v>
      </c>
      <c r="S149" s="310" t="s">
        <v>839</v>
      </c>
      <c r="T149" s="310">
        <v>33.452930000000002</v>
      </c>
      <c r="U149" s="310">
        <v>-104.461074</v>
      </c>
      <c r="V149" s="310"/>
      <c r="W149" s="311">
        <v>1</v>
      </c>
      <c r="X149" s="311">
        <v>1</v>
      </c>
      <c r="Y149" s="310" t="s">
        <v>826</v>
      </c>
      <c r="Z149" s="310" t="s">
        <v>827</v>
      </c>
      <c r="AA149" s="310"/>
      <c r="AB149" s="312">
        <v>0.25979999999999998</v>
      </c>
      <c r="AC149" s="313">
        <v>70</v>
      </c>
      <c r="AD149" s="312"/>
      <c r="AE149" s="310"/>
      <c r="AF149" s="310"/>
      <c r="AG149" s="311"/>
      <c r="AH149" s="311"/>
      <c r="AI149" s="312"/>
      <c r="AJ149" s="310"/>
      <c r="AK149" s="314"/>
      <c r="AL149" s="314"/>
      <c r="AM149" s="314">
        <v>543566</v>
      </c>
      <c r="AN149" s="314">
        <v>286707</v>
      </c>
      <c r="AO149" s="314">
        <v>159310</v>
      </c>
      <c r="AP149" s="314">
        <v>84029</v>
      </c>
      <c r="AQ149" s="314"/>
      <c r="AR149" s="314"/>
      <c r="AS149" s="314"/>
      <c r="AT149" s="314"/>
      <c r="AU149" s="314"/>
      <c r="AV149" s="314"/>
      <c r="AW149" s="314"/>
      <c r="AX149" s="314"/>
      <c r="AY149" s="315"/>
      <c r="AZ149" s="315"/>
      <c r="BA149" s="315"/>
      <c r="BB149" s="315"/>
      <c r="BC149" s="315"/>
      <c r="BD149" s="315"/>
      <c r="BE149" s="315"/>
      <c r="BF149" s="315"/>
      <c r="BG149" s="315"/>
      <c r="BH149" s="315"/>
      <c r="BI149" s="315"/>
      <c r="BJ149" s="315"/>
      <c r="BK149" s="315"/>
      <c r="BL149" s="315"/>
      <c r="BM149" s="315"/>
      <c r="BN149" s="315"/>
      <c r="BO149" s="315"/>
      <c r="BP149" s="315"/>
      <c r="BQ149" s="315"/>
      <c r="BR149" s="315"/>
      <c r="BS149" s="315"/>
      <c r="BT149" s="315"/>
      <c r="BU149" s="315"/>
      <c r="BV149" s="315"/>
      <c r="BW149" s="311"/>
      <c r="BX149" s="311"/>
      <c r="BY149" s="311"/>
      <c r="BZ149" s="311"/>
      <c r="CA149" s="311"/>
      <c r="CB149" s="311"/>
      <c r="CC149" s="311"/>
      <c r="CD149" s="311"/>
      <c r="CE149" s="311"/>
      <c r="CF149" s="311"/>
      <c r="CG149" s="311"/>
      <c r="CH149" s="310">
        <v>543566</v>
      </c>
      <c r="CI149" s="310">
        <v>286707</v>
      </c>
      <c r="CJ149" s="310"/>
      <c r="CK149" s="310"/>
      <c r="CL149" s="310"/>
      <c r="CM149" s="310"/>
      <c r="CN149" s="310"/>
      <c r="CO149" s="310"/>
      <c r="CP149" s="310"/>
      <c r="CQ149" s="311" t="s">
        <v>744</v>
      </c>
      <c r="CR149" s="311" t="s">
        <v>742</v>
      </c>
      <c r="CS149" s="311" t="s">
        <v>742</v>
      </c>
      <c r="CT149" s="311"/>
      <c r="CU149" s="311"/>
      <c r="CV149" s="311"/>
      <c r="CW149" s="311"/>
      <c r="CX149" s="311"/>
      <c r="CY149" s="311"/>
      <c r="CZ149" s="311"/>
      <c r="DA149" s="311"/>
      <c r="DB149" s="311"/>
      <c r="DC149" s="311"/>
      <c r="DD149" s="311"/>
      <c r="DE149" s="316"/>
      <c r="DF149" s="314"/>
      <c r="DG149" s="314"/>
      <c r="DH149" s="314"/>
      <c r="DI149" s="314"/>
      <c r="DJ149" s="314"/>
      <c r="DK149" s="314">
        <v>0</v>
      </c>
      <c r="DL149" s="314">
        <v>0</v>
      </c>
      <c r="DM149" s="314">
        <v>0</v>
      </c>
      <c r="DN149" s="314">
        <v>0</v>
      </c>
      <c r="DO149" s="314">
        <v>0</v>
      </c>
      <c r="DP149" s="314">
        <v>0</v>
      </c>
      <c r="DQ149" s="314">
        <v>0</v>
      </c>
      <c r="DR149" s="314">
        <v>159310</v>
      </c>
      <c r="DS149" s="314">
        <v>0</v>
      </c>
      <c r="DT149" s="314">
        <v>0</v>
      </c>
      <c r="DU149" s="314">
        <v>0</v>
      </c>
      <c r="DV149" s="314">
        <v>0</v>
      </c>
      <c r="DW149" s="314">
        <v>159310</v>
      </c>
      <c r="DX149" s="314">
        <v>0</v>
      </c>
      <c r="DY149" s="314">
        <v>159310</v>
      </c>
      <c r="DZ149" s="314">
        <v>0</v>
      </c>
      <c r="EA149" s="314">
        <v>159310</v>
      </c>
      <c r="EB149" s="314">
        <v>0</v>
      </c>
      <c r="EC149" s="317">
        <v>0</v>
      </c>
      <c r="ED149" s="317">
        <v>0</v>
      </c>
      <c r="EE149" s="317">
        <v>0</v>
      </c>
      <c r="EF149" s="317">
        <v>0</v>
      </c>
      <c r="EG149" s="317">
        <v>0</v>
      </c>
      <c r="EH149" s="317">
        <v>0</v>
      </c>
      <c r="EI149" s="317">
        <v>0</v>
      </c>
      <c r="EJ149" s="317">
        <v>1</v>
      </c>
      <c r="EK149" s="317">
        <v>0</v>
      </c>
      <c r="EL149" s="317">
        <v>0</v>
      </c>
      <c r="EM149" s="317">
        <v>0</v>
      </c>
      <c r="EN149" s="317">
        <v>0</v>
      </c>
      <c r="EO149" s="317">
        <v>1</v>
      </c>
      <c r="EP149" s="317">
        <v>0</v>
      </c>
      <c r="EQ149" s="317">
        <v>1</v>
      </c>
      <c r="ER149" s="317">
        <v>0</v>
      </c>
      <c r="ES149" s="317">
        <v>1</v>
      </c>
      <c r="ET149" s="317">
        <v>0</v>
      </c>
    </row>
    <row r="150" spans="1:150" x14ac:dyDescent="0.25">
      <c r="A150" s="310">
        <v>8475</v>
      </c>
      <c r="B150" s="310">
        <v>2023</v>
      </c>
      <c r="C150" s="310" t="s">
        <v>10</v>
      </c>
      <c r="D150" s="310" t="s">
        <v>996</v>
      </c>
      <c r="E150" s="310">
        <v>64076</v>
      </c>
      <c r="F150" s="310" t="s">
        <v>759</v>
      </c>
      <c r="G150" s="310">
        <v>15473</v>
      </c>
      <c r="H150" s="310" t="s">
        <v>996</v>
      </c>
      <c r="I150" s="310">
        <v>63714</v>
      </c>
      <c r="J150" s="310" t="s">
        <v>748</v>
      </c>
      <c r="K150" s="310" t="s">
        <v>760</v>
      </c>
      <c r="L150" s="310" t="s">
        <v>761</v>
      </c>
      <c r="M150" s="310" t="s">
        <v>732</v>
      </c>
      <c r="N150" s="310" t="s">
        <v>733</v>
      </c>
      <c r="O150" s="310" t="s">
        <v>734</v>
      </c>
      <c r="P150" s="310"/>
      <c r="Q150" s="310" t="s">
        <v>735</v>
      </c>
      <c r="R150" s="310" t="s">
        <v>865</v>
      </c>
      <c r="S150" s="310" t="s">
        <v>866</v>
      </c>
      <c r="T150" s="310">
        <v>35.098416999999998</v>
      </c>
      <c r="U150" s="310">
        <v>-107.614552</v>
      </c>
      <c r="V150" s="310"/>
      <c r="W150" s="311">
        <v>1</v>
      </c>
      <c r="X150" s="311">
        <v>1</v>
      </c>
      <c r="Y150" s="310" t="s">
        <v>826</v>
      </c>
      <c r="Z150" s="310" t="s">
        <v>827</v>
      </c>
      <c r="AA150" s="310"/>
      <c r="AB150" s="312">
        <v>0.33671000000000001</v>
      </c>
      <c r="AC150" s="313">
        <v>49.5</v>
      </c>
      <c r="AD150" s="312"/>
      <c r="AE150" s="310"/>
      <c r="AF150" s="310"/>
      <c r="AG150" s="311"/>
      <c r="AH150" s="311"/>
      <c r="AI150" s="312"/>
      <c r="AJ150" s="310"/>
      <c r="AK150" s="314"/>
      <c r="AL150" s="314"/>
      <c r="AM150" s="314">
        <v>498163</v>
      </c>
      <c r="AN150" s="314">
        <v>242898</v>
      </c>
      <c r="AO150" s="314">
        <v>146003</v>
      </c>
      <c r="AP150" s="314">
        <v>71189</v>
      </c>
      <c r="AQ150" s="314"/>
      <c r="AR150" s="314"/>
      <c r="AS150" s="314"/>
      <c r="AT150" s="314"/>
      <c r="AU150" s="314"/>
      <c r="AV150" s="314"/>
      <c r="AW150" s="314"/>
      <c r="AX150" s="314"/>
      <c r="AY150" s="315"/>
      <c r="AZ150" s="315"/>
      <c r="BA150" s="315"/>
      <c r="BB150" s="315"/>
      <c r="BC150" s="315"/>
      <c r="BD150" s="315"/>
      <c r="BE150" s="315"/>
      <c r="BF150" s="315"/>
      <c r="BG150" s="315"/>
      <c r="BH150" s="315"/>
      <c r="BI150" s="315"/>
      <c r="BJ150" s="315"/>
      <c r="BK150" s="315"/>
      <c r="BL150" s="315"/>
      <c r="BM150" s="315"/>
      <c r="BN150" s="315"/>
      <c r="BO150" s="315"/>
      <c r="BP150" s="315"/>
      <c r="BQ150" s="315"/>
      <c r="BR150" s="315"/>
      <c r="BS150" s="315"/>
      <c r="BT150" s="315"/>
      <c r="BU150" s="315"/>
      <c r="BV150" s="315"/>
      <c r="BW150" s="311"/>
      <c r="BX150" s="311"/>
      <c r="BY150" s="311"/>
      <c r="BZ150" s="311"/>
      <c r="CA150" s="311"/>
      <c r="CB150" s="311"/>
      <c r="CC150" s="311"/>
      <c r="CD150" s="311"/>
      <c r="CE150" s="311"/>
      <c r="CF150" s="311"/>
      <c r="CG150" s="311"/>
      <c r="CH150" s="310">
        <v>498163</v>
      </c>
      <c r="CI150" s="310">
        <v>242898</v>
      </c>
      <c r="CJ150" s="310"/>
      <c r="CK150" s="310"/>
      <c r="CL150" s="310"/>
      <c r="CM150" s="310"/>
      <c r="CN150" s="310"/>
      <c r="CO150" s="310"/>
      <c r="CP150" s="310"/>
      <c r="CQ150" s="311" t="s">
        <v>744</v>
      </c>
      <c r="CR150" s="311" t="s">
        <v>742</v>
      </c>
      <c r="CS150" s="311" t="s">
        <v>742</v>
      </c>
      <c r="CT150" s="311"/>
      <c r="CU150" s="311"/>
      <c r="CV150" s="311"/>
      <c r="CW150" s="311"/>
      <c r="CX150" s="311"/>
      <c r="CY150" s="311"/>
      <c r="CZ150" s="311"/>
      <c r="DA150" s="311"/>
      <c r="DB150" s="311"/>
      <c r="DC150" s="311"/>
      <c r="DD150" s="311"/>
      <c r="DE150" s="316"/>
      <c r="DF150" s="314"/>
      <c r="DG150" s="314"/>
      <c r="DH150" s="314"/>
      <c r="DI150" s="314"/>
      <c r="DJ150" s="314"/>
      <c r="DK150" s="314">
        <v>0</v>
      </c>
      <c r="DL150" s="314">
        <v>0</v>
      </c>
      <c r="DM150" s="314">
        <v>0</v>
      </c>
      <c r="DN150" s="314">
        <v>0</v>
      </c>
      <c r="DO150" s="314">
        <v>0</v>
      </c>
      <c r="DP150" s="314">
        <v>0</v>
      </c>
      <c r="DQ150" s="314">
        <v>0</v>
      </c>
      <c r="DR150" s="314">
        <v>146003</v>
      </c>
      <c r="DS150" s="314">
        <v>0</v>
      </c>
      <c r="DT150" s="314">
        <v>0</v>
      </c>
      <c r="DU150" s="314">
        <v>0</v>
      </c>
      <c r="DV150" s="314">
        <v>0</v>
      </c>
      <c r="DW150" s="314">
        <v>146003</v>
      </c>
      <c r="DX150" s="314">
        <v>0</v>
      </c>
      <c r="DY150" s="314">
        <v>146003</v>
      </c>
      <c r="DZ150" s="314">
        <v>0</v>
      </c>
      <c r="EA150" s="314">
        <v>146003</v>
      </c>
      <c r="EB150" s="314">
        <v>0</v>
      </c>
      <c r="EC150" s="317">
        <v>0</v>
      </c>
      <c r="ED150" s="317">
        <v>0</v>
      </c>
      <c r="EE150" s="317">
        <v>0</v>
      </c>
      <c r="EF150" s="317">
        <v>0</v>
      </c>
      <c r="EG150" s="317">
        <v>0</v>
      </c>
      <c r="EH150" s="317">
        <v>0</v>
      </c>
      <c r="EI150" s="317">
        <v>0</v>
      </c>
      <c r="EJ150" s="317">
        <v>1</v>
      </c>
      <c r="EK150" s="317">
        <v>0</v>
      </c>
      <c r="EL150" s="317">
        <v>0</v>
      </c>
      <c r="EM150" s="317">
        <v>0</v>
      </c>
      <c r="EN150" s="317">
        <v>0</v>
      </c>
      <c r="EO150" s="317">
        <v>1</v>
      </c>
      <c r="EP150" s="317">
        <v>0</v>
      </c>
      <c r="EQ150" s="317">
        <v>1</v>
      </c>
      <c r="ER150" s="317">
        <v>0</v>
      </c>
      <c r="ES150" s="317">
        <v>1</v>
      </c>
      <c r="ET150" s="317">
        <v>0</v>
      </c>
    </row>
    <row r="151" spans="1:150" x14ac:dyDescent="0.25">
      <c r="A151" s="310">
        <v>8476</v>
      </c>
      <c r="B151" s="310">
        <v>2023</v>
      </c>
      <c r="C151" s="310" t="s">
        <v>10</v>
      </c>
      <c r="D151" s="310" t="s">
        <v>997</v>
      </c>
      <c r="E151" s="310">
        <v>58479</v>
      </c>
      <c r="F151" s="310" t="s">
        <v>746</v>
      </c>
      <c r="G151" s="310">
        <v>17718</v>
      </c>
      <c r="H151" s="310" t="s">
        <v>934</v>
      </c>
      <c r="I151" s="310">
        <v>60281</v>
      </c>
      <c r="J151" s="310" t="s">
        <v>748</v>
      </c>
      <c r="K151" s="310" t="s">
        <v>749</v>
      </c>
      <c r="L151" s="310" t="s">
        <v>750</v>
      </c>
      <c r="M151" s="310" t="s">
        <v>732</v>
      </c>
      <c r="N151" s="310" t="s">
        <v>752</v>
      </c>
      <c r="O151" s="310" t="s">
        <v>753</v>
      </c>
      <c r="P151" s="310"/>
      <c r="Q151" s="310" t="s">
        <v>735</v>
      </c>
      <c r="R151" s="310" t="s">
        <v>838</v>
      </c>
      <c r="S151" s="310" t="s">
        <v>839</v>
      </c>
      <c r="T151" s="310">
        <v>33.351111000000003</v>
      </c>
      <c r="U151" s="310">
        <v>-104.506944</v>
      </c>
      <c r="V151" s="310"/>
      <c r="W151" s="311">
        <v>1</v>
      </c>
      <c r="X151" s="311">
        <v>1</v>
      </c>
      <c r="Y151" s="310" t="s">
        <v>826</v>
      </c>
      <c r="Z151" s="310" t="s">
        <v>827</v>
      </c>
      <c r="AA151" s="310"/>
      <c r="AB151" s="312">
        <v>0.24651999999999999</v>
      </c>
      <c r="AC151" s="313">
        <v>2</v>
      </c>
      <c r="AD151" s="312"/>
      <c r="AE151" s="310"/>
      <c r="AF151" s="310"/>
      <c r="AG151" s="311"/>
      <c r="AH151" s="311"/>
      <c r="AI151" s="312"/>
      <c r="AJ151" s="310"/>
      <c r="AK151" s="314"/>
      <c r="AL151" s="314"/>
      <c r="AM151" s="314">
        <v>14737</v>
      </c>
      <c r="AN151" s="314">
        <v>6572</v>
      </c>
      <c r="AO151" s="314">
        <v>4319</v>
      </c>
      <c r="AP151" s="314">
        <v>1926</v>
      </c>
      <c r="AQ151" s="314"/>
      <c r="AR151" s="314"/>
      <c r="AS151" s="314"/>
      <c r="AT151" s="314"/>
      <c r="AU151" s="314"/>
      <c r="AV151" s="314"/>
      <c r="AW151" s="314"/>
      <c r="AX151" s="314"/>
      <c r="AY151" s="315"/>
      <c r="AZ151" s="315"/>
      <c r="BA151" s="315"/>
      <c r="BB151" s="315"/>
      <c r="BC151" s="315"/>
      <c r="BD151" s="315"/>
      <c r="BE151" s="315"/>
      <c r="BF151" s="315"/>
      <c r="BG151" s="315"/>
      <c r="BH151" s="315"/>
      <c r="BI151" s="315"/>
      <c r="BJ151" s="315"/>
      <c r="BK151" s="315"/>
      <c r="BL151" s="315"/>
      <c r="BM151" s="315"/>
      <c r="BN151" s="315"/>
      <c r="BO151" s="315"/>
      <c r="BP151" s="315"/>
      <c r="BQ151" s="315"/>
      <c r="BR151" s="315"/>
      <c r="BS151" s="315"/>
      <c r="BT151" s="315"/>
      <c r="BU151" s="315"/>
      <c r="BV151" s="315"/>
      <c r="BW151" s="311"/>
      <c r="BX151" s="311"/>
      <c r="BY151" s="311"/>
      <c r="BZ151" s="311"/>
      <c r="CA151" s="311"/>
      <c r="CB151" s="311"/>
      <c r="CC151" s="311"/>
      <c r="CD151" s="311"/>
      <c r="CE151" s="311"/>
      <c r="CF151" s="311"/>
      <c r="CG151" s="311"/>
      <c r="CH151" s="310">
        <v>14737</v>
      </c>
      <c r="CI151" s="310">
        <v>6572</v>
      </c>
      <c r="CJ151" s="310"/>
      <c r="CK151" s="310"/>
      <c r="CL151" s="310"/>
      <c r="CM151" s="310"/>
      <c r="CN151" s="310"/>
      <c r="CO151" s="310"/>
      <c r="CP151" s="310"/>
      <c r="CQ151" s="311" t="s">
        <v>744</v>
      </c>
      <c r="CR151" s="311" t="s">
        <v>742</v>
      </c>
      <c r="CS151" s="311" t="s">
        <v>742</v>
      </c>
      <c r="CT151" s="311"/>
      <c r="CU151" s="311"/>
      <c r="CV151" s="311"/>
      <c r="CW151" s="311"/>
      <c r="CX151" s="311"/>
      <c r="CY151" s="311"/>
      <c r="CZ151" s="311"/>
      <c r="DA151" s="311"/>
      <c r="DB151" s="311"/>
      <c r="DC151" s="311"/>
      <c r="DD151" s="311"/>
      <c r="DE151" s="316"/>
      <c r="DF151" s="314"/>
      <c r="DG151" s="314"/>
      <c r="DH151" s="314"/>
      <c r="DI151" s="314"/>
      <c r="DJ151" s="314"/>
      <c r="DK151" s="314">
        <v>0</v>
      </c>
      <c r="DL151" s="314">
        <v>0</v>
      </c>
      <c r="DM151" s="314">
        <v>0</v>
      </c>
      <c r="DN151" s="314">
        <v>0</v>
      </c>
      <c r="DO151" s="314">
        <v>0</v>
      </c>
      <c r="DP151" s="314">
        <v>0</v>
      </c>
      <c r="DQ151" s="314">
        <v>0</v>
      </c>
      <c r="DR151" s="314">
        <v>4319</v>
      </c>
      <c r="DS151" s="314">
        <v>0</v>
      </c>
      <c r="DT151" s="314">
        <v>0</v>
      </c>
      <c r="DU151" s="314">
        <v>0</v>
      </c>
      <c r="DV151" s="314">
        <v>0</v>
      </c>
      <c r="DW151" s="314">
        <v>4319</v>
      </c>
      <c r="DX151" s="314">
        <v>0</v>
      </c>
      <c r="DY151" s="314">
        <v>4319</v>
      </c>
      <c r="DZ151" s="314">
        <v>0</v>
      </c>
      <c r="EA151" s="314">
        <v>4319</v>
      </c>
      <c r="EB151" s="314">
        <v>0</v>
      </c>
      <c r="EC151" s="317">
        <v>0</v>
      </c>
      <c r="ED151" s="317">
        <v>0</v>
      </c>
      <c r="EE151" s="317">
        <v>0</v>
      </c>
      <c r="EF151" s="317">
        <v>0</v>
      </c>
      <c r="EG151" s="317">
        <v>0</v>
      </c>
      <c r="EH151" s="317">
        <v>0</v>
      </c>
      <c r="EI151" s="317">
        <v>0</v>
      </c>
      <c r="EJ151" s="317">
        <v>1</v>
      </c>
      <c r="EK151" s="317">
        <v>0</v>
      </c>
      <c r="EL151" s="317">
        <v>0</v>
      </c>
      <c r="EM151" s="317">
        <v>0</v>
      </c>
      <c r="EN151" s="317">
        <v>0</v>
      </c>
      <c r="EO151" s="317">
        <v>1</v>
      </c>
      <c r="EP151" s="317">
        <v>0</v>
      </c>
      <c r="EQ151" s="317">
        <v>1</v>
      </c>
      <c r="ER151" s="317">
        <v>0</v>
      </c>
      <c r="ES151" s="317">
        <v>1</v>
      </c>
      <c r="ET151" s="317">
        <v>0</v>
      </c>
    </row>
    <row r="152" spans="1:150" x14ac:dyDescent="0.25">
      <c r="A152" s="310">
        <v>8477</v>
      </c>
      <c r="B152" s="310">
        <v>2023</v>
      </c>
      <c r="C152" s="310" t="s">
        <v>10</v>
      </c>
      <c r="D152" s="310" t="s">
        <v>998</v>
      </c>
      <c r="E152" s="310">
        <v>57736</v>
      </c>
      <c r="F152" s="310" t="s">
        <v>746</v>
      </c>
      <c r="G152" s="310">
        <v>17718</v>
      </c>
      <c r="H152" s="310" t="s">
        <v>999</v>
      </c>
      <c r="I152" s="310">
        <v>57055</v>
      </c>
      <c r="J152" s="310" t="s">
        <v>748</v>
      </c>
      <c r="K152" s="310" t="s">
        <v>749</v>
      </c>
      <c r="L152" s="310" t="s">
        <v>750</v>
      </c>
      <c r="M152" s="310" t="s">
        <v>732</v>
      </c>
      <c r="N152" s="310" t="s">
        <v>752</v>
      </c>
      <c r="O152" s="310" t="s">
        <v>753</v>
      </c>
      <c r="P152" s="310"/>
      <c r="Q152" s="310" t="s">
        <v>735</v>
      </c>
      <c r="R152" s="310" t="s">
        <v>754</v>
      </c>
      <c r="S152" s="310" t="s">
        <v>755</v>
      </c>
      <c r="T152" s="310">
        <v>32.127429999999997</v>
      </c>
      <c r="U152" s="310">
        <v>-103.13782500000001</v>
      </c>
      <c r="V152" s="310"/>
      <c r="W152" s="311">
        <v>1</v>
      </c>
      <c r="X152" s="311">
        <v>1</v>
      </c>
      <c r="Y152" s="310" t="s">
        <v>826</v>
      </c>
      <c r="Z152" s="310" t="s">
        <v>827</v>
      </c>
      <c r="AA152" s="310"/>
      <c r="AB152" s="312">
        <v>0.25248999999999999</v>
      </c>
      <c r="AC152" s="313">
        <v>10</v>
      </c>
      <c r="AD152" s="312"/>
      <c r="AE152" s="310"/>
      <c r="AF152" s="310"/>
      <c r="AG152" s="311"/>
      <c r="AH152" s="311"/>
      <c r="AI152" s="312"/>
      <c r="AJ152" s="310"/>
      <c r="AK152" s="314"/>
      <c r="AL152" s="314"/>
      <c r="AM152" s="314">
        <v>75466</v>
      </c>
      <c r="AN152" s="314">
        <v>37553</v>
      </c>
      <c r="AO152" s="314">
        <v>22118</v>
      </c>
      <c r="AP152" s="314">
        <v>11006</v>
      </c>
      <c r="AQ152" s="314"/>
      <c r="AR152" s="314"/>
      <c r="AS152" s="314"/>
      <c r="AT152" s="314"/>
      <c r="AU152" s="314"/>
      <c r="AV152" s="314"/>
      <c r="AW152" s="314"/>
      <c r="AX152" s="314"/>
      <c r="AY152" s="315"/>
      <c r="AZ152" s="315"/>
      <c r="BA152" s="315"/>
      <c r="BB152" s="315"/>
      <c r="BC152" s="315"/>
      <c r="BD152" s="315"/>
      <c r="BE152" s="315"/>
      <c r="BF152" s="315"/>
      <c r="BG152" s="315"/>
      <c r="BH152" s="315"/>
      <c r="BI152" s="315"/>
      <c r="BJ152" s="315"/>
      <c r="BK152" s="315"/>
      <c r="BL152" s="315"/>
      <c r="BM152" s="315"/>
      <c r="BN152" s="315"/>
      <c r="BO152" s="315"/>
      <c r="BP152" s="315"/>
      <c r="BQ152" s="315"/>
      <c r="BR152" s="315"/>
      <c r="BS152" s="315"/>
      <c r="BT152" s="315"/>
      <c r="BU152" s="315"/>
      <c r="BV152" s="315"/>
      <c r="BW152" s="311"/>
      <c r="BX152" s="311"/>
      <c r="BY152" s="311"/>
      <c r="BZ152" s="311"/>
      <c r="CA152" s="311"/>
      <c r="CB152" s="311"/>
      <c r="CC152" s="311"/>
      <c r="CD152" s="311"/>
      <c r="CE152" s="311"/>
      <c r="CF152" s="311"/>
      <c r="CG152" s="311"/>
      <c r="CH152" s="310">
        <v>75466</v>
      </c>
      <c r="CI152" s="310">
        <v>37553</v>
      </c>
      <c r="CJ152" s="310"/>
      <c r="CK152" s="310"/>
      <c r="CL152" s="310"/>
      <c r="CM152" s="310"/>
      <c r="CN152" s="310"/>
      <c r="CO152" s="310"/>
      <c r="CP152" s="310"/>
      <c r="CQ152" s="311" t="s">
        <v>744</v>
      </c>
      <c r="CR152" s="311" t="s">
        <v>742</v>
      </c>
      <c r="CS152" s="311" t="s">
        <v>742</v>
      </c>
      <c r="CT152" s="311"/>
      <c r="CU152" s="311"/>
      <c r="CV152" s="311"/>
      <c r="CW152" s="311"/>
      <c r="CX152" s="311"/>
      <c r="CY152" s="311"/>
      <c r="CZ152" s="311"/>
      <c r="DA152" s="311"/>
      <c r="DB152" s="311"/>
      <c r="DC152" s="311"/>
      <c r="DD152" s="311"/>
      <c r="DE152" s="316"/>
      <c r="DF152" s="314"/>
      <c r="DG152" s="314"/>
      <c r="DH152" s="314"/>
      <c r="DI152" s="314"/>
      <c r="DJ152" s="314"/>
      <c r="DK152" s="314">
        <v>0</v>
      </c>
      <c r="DL152" s="314">
        <v>0</v>
      </c>
      <c r="DM152" s="314">
        <v>0</v>
      </c>
      <c r="DN152" s="314">
        <v>0</v>
      </c>
      <c r="DO152" s="314">
        <v>0</v>
      </c>
      <c r="DP152" s="314">
        <v>0</v>
      </c>
      <c r="DQ152" s="314">
        <v>0</v>
      </c>
      <c r="DR152" s="314">
        <v>22118</v>
      </c>
      <c r="DS152" s="314">
        <v>0</v>
      </c>
      <c r="DT152" s="314">
        <v>0</v>
      </c>
      <c r="DU152" s="314">
        <v>0</v>
      </c>
      <c r="DV152" s="314">
        <v>0</v>
      </c>
      <c r="DW152" s="314">
        <v>22118</v>
      </c>
      <c r="DX152" s="314">
        <v>0</v>
      </c>
      <c r="DY152" s="314">
        <v>22118</v>
      </c>
      <c r="DZ152" s="314">
        <v>0</v>
      </c>
      <c r="EA152" s="314">
        <v>22118</v>
      </c>
      <c r="EB152" s="314">
        <v>0</v>
      </c>
      <c r="EC152" s="317">
        <v>0</v>
      </c>
      <c r="ED152" s="317">
        <v>0</v>
      </c>
      <c r="EE152" s="317">
        <v>0</v>
      </c>
      <c r="EF152" s="317">
        <v>0</v>
      </c>
      <c r="EG152" s="317">
        <v>0</v>
      </c>
      <c r="EH152" s="317">
        <v>0</v>
      </c>
      <c r="EI152" s="317">
        <v>0</v>
      </c>
      <c r="EJ152" s="317">
        <v>1</v>
      </c>
      <c r="EK152" s="317">
        <v>0</v>
      </c>
      <c r="EL152" s="317">
        <v>0</v>
      </c>
      <c r="EM152" s="317">
        <v>0</v>
      </c>
      <c r="EN152" s="317">
        <v>0</v>
      </c>
      <c r="EO152" s="317">
        <v>1</v>
      </c>
      <c r="EP152" s="317">
        <v>0</v>
      </c>
      <c r="EQ152" s="317">
        <v>1</v>
      </c>
      <c r="ER152" s="317">
        <v>0</v>
      </c>
      <c r="ES152" s="317">
        <v>1</v>
      </c>
      <c r="ET152" s="317">
        <v>0</v>
      </c>
    </row>
    <row r="153" spans="1:150" x14ac:dyDescent="0.25">
      <c r="A153" s="310">
        <v>8478</v>
      </c>
      <c r="B153" s="310">
        <v>2023</v>
      </c>
      <c r="C153" s="310" t="s">
        <v>10</v>
      </c>
      <c r="D153" s="310" t="s">
        <v>1000</v>
      </c>
      <c r="E153" s="310">
        <v>57737</v>
      </c>
      <c r="F153" s="310" t="s">
        <v>746</v>
      </c>
      <c r="G153" s="310">
        <v>17718</v>
      </c>
      <c r="H153" s="310" t="s">
        <v>1001</v>
      </c>
      <c r="I153" s="310">
        <v>57056</v>
      </c>
      <c r="J153" s="310" t="s">
        <v>748</v>
      </c>
      <c r="K153" s="310" t="s">
        <v>749</v>
      </c>
      <c r="L153" s="310" t="s">
        <v>750</v>
      </c>
      <c r="M153" s="310" t="s">
        <v>732</v>
      </c>
      <c r="N153" s="310" t="s">
        <v>752</v>
      </c>
      <c r="O153" s="310" t="s">
        <v>753</v>
      </c>
      <c r="P153" s="310"/>
      <c r="Q153" s="310" t="s">
        <v>735</v>
      </c>
      <c r="R153" s="310" t="s">
        <v>754</v>
      </c>
      <c r="S153" s="310" t="s">
        <v>755</v>
      </c>
      <c r="T153" s="310">
        <v>32.183610999999999</v>
      </c>
      <c r="U153" s="310">
        <v>-103.18305599999999</v>
      </c>
      <c r="V153" s="310"/>
      <c r="W153" s="311">
        <v>1</v>
      </c>
      <c r="X153" s="311">
        <v>1</v>
      </c>
      <c r="Y153" s="310" t="s">
        <v>826</v>
      </c>
      <c r="Z153" s="310" t="s">
        <v>827</v>
      </c>
      <c r="AA153" s="310"/>
      <c r="AB153" s="312">
        <v>0.21615999999999999</v>
      </c>
      <c r="AC153" s="313">
        <v>10</v>
      </c>
      <c r="AD153" s="312"/>
      <c r="AE153" s="310"/>
      <c r="AF153" s="310"/>
      <c r="AG153" s="311"/>
      <c r="AH153" s="311"/>
      <c r="AI153" s="312"/>
      <c r="AJ153" s="310"/>
      <c r="AK153" s="314"/>
      <c r="AL153" s="314"/>
      <c r="AM153" s="314">
        <v>64608</v>
      </c>
      <c r="AN153" s="314">
        <v>34191</v>
      </c>
      <c r="AO153" s="314">
        <v>18936</v>
      </c>
      <c r="AP153" s="314">
        <v>10021</v>
      </c>
      <c r="AQ153" s="314"/>
      <c r="AR153" s="314"/>
      <c r="AS153" s="314"/>
      <c r="AT153" s="314"/>
      <c r="AU153" s="314"/>
      <c r="AV153" s="314"/>
      <c r="AW153" s="314"/>
      <c r="AX153" s="314"/>
      <c r="AY153" s="315"/>
      <c r="AZ153" s="315"/>
      <c r="BA153" s="315"/>
      <c r="BB153" s="315"/>
      <c r="BC153" s="315"/>
      <c r="BD153" s="315"/>
      <c r="BE153" s="315"/>
      <c r="BF153" s="315"/>
      <c r="BG153" s="315"/>
      <c r="BH153" s="315"/>
      <c r="BI153" s="315"/>
      <c r="BJ153" s="315"/>
      <c r="BK153" s="315"/>
      <c r="BL153" s="315"/>
      <c r="BM153" s="315"/>
      <c r="BN153" s="315"/>
      <c r="BO153" s="315"/>
      <c r="BP153" s="315"/>
      <c r="BQ153" s="315"/>
      <c r="BR153" s="315"/>
      <c r="BS153" s="315"/>
      <c r="BT153" s="315"/>
      <c r="BU153" s="315"/>
      <c r="BV153" s="315"/>
      <c r="BW153" s="311"/>
      <c r="BX153" s="311"/>
      <c r="BY153" s="311"/>
      <c r="BZ153" s="311"/>
      <c r="CA153" s="311"/>
      <c r="CB153" s="311"/>
      <c r="CC153" s="311"/>
      <c r="CD153" s="311"/>
      <c r="CE153" s="311"/>
      <c r="CF153" s="311"/>
      <c r="CG153" s="311"/>
      <c r="CH153" s="310">
        <v>64608</v>
      </c>
      <c r="CI153" s="310">
        <v>34191</v>
      </c>
      <c r="CJ153" s="310"/>
      <c r="CK153" s="310"/>
      <c r="CL153" s="310"/>
      <c r="CM153" s="310"/>
      <c r="CN153" s="310"/>
      <c r="CO153" s="310"/>
      <c r="CP153" s="310"/>
      <c r="CQ153" s="311" t="s">
        <v>744</v>
      </c>
      <c r="CR153" s="311" t="s">
        <v>742</v>
      </c>
      <c r="CS153" s="311" t="s">
        <v>742</v>
      </c>
      <c r="CT153" s="311"/>
      <c r="CU153" s="311"/>
      <c r="CV153" s="311"/>
      <c r="CW153" s="311"/>
      <c r="CX153" s="311"/>
      <c r="CY153" s="311"/>
      <c r="CZ153" s="311"/>
      <c r="DA153" s="311"/>
      <c r="DB153" s="311"/>
      <c r="DC153" s="311"/>
      <c r="DD153" s="311"/>
      <c r="DE153" s="316"/>
      <c r="DF153" s="314"/>
      <c r="DG153" s="314"/>
      <c r="DH153" s="314"/>
      <c r="DI153" s="314"/>
      <c r="DJ153" s="314"/>
      <c r="DK153" s="314">
        <v>0</v>
      </c>
      <c r="DL153" s="314">
        <v>0</v>
      </c>
      <c r="DM153" s="314">
        <v>0</v>
      </c>
      <c r="DN153" s="314">
        <v>0</v>
      </c>
      <c r="DO153" s="314">
        <v>0</v>
      </c>
      <c r="DP153" s="314">
        <v>0</v>
      </c>
      <c r="DQ153" s="314">
        <v>0</v>
      </c>
      <c r="DR153" s="314">
        <v>18936</v>
      </c>
      <c r="DS153" s="314">
        <v>0</v>
      </c>
      <c r="DT153" s="314">
        <v>0</v>
      </c>
      <c r="DU153" s="314">
        <v>0</v>
      </c>
      <c r="DV153" s="314">
        <v>0</v>
      </c>
      <c r="DW153" s="314">
        <v>18936</v>
      </c>
      <c r="DX153" s="314">
        <v>0</v>
      </c>
      <c r="DY153" s="314">
        <v>18936</v>
      </c>
      <c r="DZ153" s="314">
        <v>0</v>
      </c>
      <c r="EA153" s="314">
        <v>18936</v>
      </c>
      <c r="EB153" s="314">
        <v>0</v>
      </c>
      <c r="EC153" s="317">
        <v>0</v>
      </c>
      <c r="ED153" s="317">
        <v>0</v>
      </c>
      <c r="EE153" s="317">
        <v>0</v>
      </c>
      <c r="EF153" s="317">
        <v>0</v>
      </c>
      <c r="EG153" s="317">
        <v>0</v>
      </c>
      <c r="EH153" s="317">
        <v>0</v>
      </c>
      <c r="EI153" s="317">
        <v>0</v>
      </c>
      <c r="EJ153" s="317">
        <v>1</v>
      </c>
      <c r="EK153" s="317">
        <v>0</v>
      </c>
      <c r="EL153" s="317">
        <v>0</v>
      </c>
      <c r="EM153" s="317">
        <v>0</v>
      </c>
      <c r="EN153" s="317">
        <v>0</v>
      </c>
      <c r="EO153" s="317">
        <v>1</v>
      </c>
      <c r="EP153" s="317">
        <v>0</v>
      </c>
      <c r="EQ153" s="317">
        <v>1</v>
      </c>
      <c r="ER153" s="317">
        <v>0</v>
      </c>
      <c r="ES153" s="317">
        <v>1</v>
      </c>
      <c r="ET153" s="317">
        <v>0</v>
      </c>
    </row>
    <row r="154" spans="1:150" x14ac:dyDescent="0.25">
      <c r="A154" s="310">
        <v>8479</v>
      </c>
      <c r="B154" s="310">
        <v>2023</v>
      </c>
      <c r="C154" s="310" t="s">
        <v>10</v>
      </c>
      <c r="D154" s="310" t="s">
        <v>1002</v>
      </c>
      <c r="E154" s="310">
        <v>57738</v>
      </c>
      <c r="F154" s="310" t="s">
        <v>746</v>
      </c>
      <c r="G154" s="310">
        <v>17718</v>
      </c>
      <c r="H154" s="310" t="s">
        <v>1003</v>
      </c>
      <c r="I154" s="310">
        <v>57057</v>
      </c>
      <c r="J154" s="310" t="s">
        <v>748</v>
      </c>
      <c r="K154" s="310" t="s">
        <v>749</v>
      </c>
      <c r="L154" s="310" t="s">
        <v>750</v>
      </c>
      <c r="M154" s="310" t="s">
        <v>732</v>
      </c>
      <c r="N154" s="310" t="s">
        <v>752</v>
      </c>
      <c r="O154" s="310" t="s">
        <v>753</v>
      </c>
      <c r="P154" s="310"/>
      <c r="Q154" s="310" t="s">
        <v>735</v>
      </c>
      <c r="R154" s="310" t="s">
        <v>754</v>
      </c>
      <c r="S154" s="310" t="s">
        <v>755</v>
      </c>
      <c r="T154" s="310">
        <v>32.469721999999997</v>
      </c>
      <c r="U154" s="310">
        <v>-103.32333300000001</v>
      </c>
      <c r="V154" s="310"/>
      <c r="W154" s="311">
        <v>1</v>
      </c>
      <c r="X154" s="311">
        <v>1</v>
      </c>
      <c r="Y154" s="310" t="s">
        <v>826</v>
      </c>
      <c r="Z154" s="310" t="s">
        <v>827</v>
      </c>
      <c r="AA154" s="310"/>
      <c r="AB154" s="312">
        <v>0.26299</v>
      </c>
      <c r="AC154" s="313">
        <v>10</v>
      </c>
      <c r="AD154" s="312"/>
      <c r="AE154" s="310"/>
      <c r="AF154" s="310"/>
      <c r="AG154" s="311"/>
      <c r="AH154" s="311"/>
      <c r="AI154" s="312"/>
      <c r="AJ154" s="310"/>
      <c r="AK154" s="314"/>
      <c r="AL154" s="314"/>
      <c r="AM154" s="314">
        <v>78606</v>
      </c>
      <c r="AN154" s="314">
        <v>40747</v>
      </c>
      <c r="AO154" s="314">
        <v>23038</v>
      </c>
      <c r="AP154" s="314">
        <v>11942</v>
      </c>
      <c r="AQ154" s="314"/>
      <c r="AR154" s="314"/>
      <c r="AS154" s="314"/>
      <c r="AT154" s="314"/>
      <c r="AU154" s="314"/>
      <c r="AV154" s="314"/>
      <c r="AW154" s="314"/>
      <c r="AX154" s="314"/>
      <c r="AY154" s="315"/>
      <c r="AZ154" s="315"/>
      <c r="BA154" s="315"/>
      <c r="BB154" s="315"/>
      <c r="BC154" s="315"/>
      <c r="BD154" s="315"/>
      <c r="BE154" s="315"/>
      <c r="BF154" s="315"/>
      <c r="BG154" s="315"/>
      <c r="BH154" s="315"/>
      <c r="BI154" s="315"/>
      <c r="BJ154" s="315"/>
      <c r="BK154" s="315"/>
      <c r="BL154" s="315"/>
      <c r="BM154" s="315"/>
      <c r="BN154" s="315"/>
      <c r="BO154" s="315"/>
      <c r="BP154" s="315"/>
      <c r="BQ154" s="315"/>
      <c r="BR154" s="315"/>
      <c r="BS154" s="315"/>
      <c r="BT154" s="315"/>
      <c r="BU154" s="315"/>
      <c r="BV154" s="315"/>
      <c r="BW154" s="311"/>
      <c r="BX154" s="311"/>
      <c r="BY154" s="311"/>
      <c r="BZ154" s="311"/>
      <c r="CA154" s="311"/>
      <c r="CB154" s="311"/>
      <c r="CC154" s="311"/>
      <c r="CD154" s="311"/>
      <c r="CE154" s="311"/>
      <c r="CF154" s="311"/>
      <c r="CG154" s="311"/>
      <c r="CH154" s="310">
        <v>78606</v>
      </c>
      <c r="CI154" s="310">
        <v>40747</v>
      </c>
      <c r="CJ154" s="310"/>
      <c r="CK154" s="310"/>
      <c r="CL154" s="310"/>
      <c r="CM154" s="310"/>
      <c r="CN154" s="310"/>
      <c r="CO154" s="310"/>
      <c r="CP154" s="310"/>
      <c r="CQ154" s="311" t="s">
        <v>744</v>
      </c>
      <c r="CR154" s="311" t="s">
        <v>742</v>
      </c>
      <c r="CS154" s="311" t="s">
        <v>742</v>
      </c>
      <c r="CT154" s="311"/>
      <c r="CU154" s="311"/>
      <c r="CV154" s="311"/>
      <c r="CW154" s="311"/>
      <c r="CX154" s="311"/>
      <c r="CY154" s="311"/>
      <c r="CZ154" s="311"/>
      <c r="DA154" s="311"/>
      <c r="DB154" s="311"/>
      <c r="DC154" s="311"/>
      <c r="DD154" s="311"/>
      <c r="DE154" s="316"/>
      <c r="DF154" s="314"/>
      <c r="DG154" s="314"/>
      <c r="DH154" s="314"/>
      <c r="DI154" s="314"/>
      <c r="DJ154" s="314"/>
      <c r="DK154" s="314">
        <v>0</v>
      </c>
      <c r="DL154" s="314">
        <v>0</v>
      </c>
      <c r="DM154" s="314">
        <v>0</v>
      </c>
      <c r="DN154" s="314">
        <v>0</v>
      </c>
      <c r="DO154" s="314">
        <v>0</v>
      </c>
      <c r="DP154" s="314">
        <v>0</v>
      </c>
      <c r="DQ154" s="314">
        <v>0</v>
      </c>
      <c r="DR154" s="314">
        <v>23038</v>
      </c>
      <c r="DS154" s="314">
        <v>0</v>
      </c>
      <c r="DT154" s="314">
        <v>0</v>
      </c>
      <c r="DU154" s="314">
        <v>0</v>
      </c>
      <c r="DV154" s="314">
        <v>0</v>
      </c>
      <c r="DW154" s="314">
        <v>23038</v>
      </c>
      <c r="DX154" s="314">
        <v>0</v>
      </c>
      <c r="DY154" s="314">
        <v>23038</v>
      </c>
      <c r="DZ154" s="314">
        <v>0</v>
      </c>
      <c r="EA154" s="314">
        <v>23038</v>
      </c>
      <c r="EB154" s="314">
        <v>0</v>
      </c>
      <c r="EC154" s="317">
        <v>0</v>
      </c>
      <c r="ED154" s="317">
        <v>0</v>
      </c>
      <c r="EE154" s="317">
        <v>0</v>
      </c>
      <c r="EF154" s="317">
        <v>0</v>
      </c>
      <c r="EG154" s="317">
        <v>0</v>
      </c>
      <c r="EH154" s="317">
        <v>0</v>
      </c>
      <c r="EI154" s="317">
        <v>0</v>
      </c>
      <c r="EJ154" s="317">
        <v>1</v>
      </c>
      <c r="EK154" s="317">
        <v>0</v>
      </c>
      <c r="EL154" s="317">
        <v>0</v>
      </c>
      <c r="EM154" s="317">
        <v>0</v>
      </c>
      <c r="EN154" s="317">
        <v>0</v>
      </c>
      <c r="EO154" s="317">
        <v>1</v>
      </c>
      <c r="EP154" s="317">
        <v>0</v>
      </c>
      <c r="EQ154" s="317">
        <v>1</v>
      </c>
      <c r="ER154" s="317">
        <v>0</v>
      </c>
      <c r="ES154" s="317">
        <v>1</v>
      </c>
      <c r="ET154" s="317">
        <v>0</v>
      </c>
    </row>
    <row r="155" spans="1:150" x14ac:dyDescent="0.25">
      <c r="A155" s="310">
        <v>8480</v>
      </c>
      <c r="B155" s="310">
        <v>2023</v>
      </c>
      <c r="C155" s="310" t="s">
        <v>10</v>
      </c>
      <c r="D155" s="310" t="s">
        <v>1004</v>
      </c>
      <c r="E155" s="310">
        <v>57739</v>
      </c>
      <c r="F155" s="310" t="s">
        <v>746</v>
      </c>
      <c r="G155" s="310">
        <v>17718</v>
      </c>
      <c r="H155" s="310" t="s">
        <v>1005</v>
      </c>
      <c r="I155" s="310">
        <v>57059</v>
      </c>
      <c r="J155" s="310" t="s">
        <v>748</v>
      </c>
      <c r="K155" s="310" t="s">
        <v>749</v>
      </c>
      <c r="L155" s="310" t="s">
        <v>750</v>
      </c>
      <c r="M155" s="310" t="s">
        <v>732</v>
      </c>
      <c r="N155" s="310" t="s">
        <v>752</v>
      </c>
      <c r="O155" s="310" t="s">
        <v>753</v>
      </c>
      <c r="P155" s="310"/>
      <c r="Q155" s="310" t="s">
        <v>735</v>
      </c>
      <c r="R155" s="310" t="s">
        <v>754</v>
      </c>
      <c r="S155" s="310" t="s">
        <v>755</v>
      </c>
      <c r="T155" s="310">
        <v>32.681944000000001</v>
      </c>
      <c r="U155" s="310">
        <v>-103.303611</v>
      </c>
      <c r="V155" s="310"/>
      <c r="W155" s="311">
        <v>1</v>
      </c>
      <c r="X155" s="311">
        <v>1</v>
      </c>
      <c r="Y155" s="310" t="s">
        <v>826</v>
      </c>
      <c r="Z155" s="310" t="s">
        <v>827</v>
      </c>
      <c r="AA155" s="310"/>
      <c r="AB155" s="312">
        <v>0.25225999999999998</v>
      </c>
      <c r="AC155" s="313">
        <v>10.1</v>
      </c>
      <c r="AD155" s="312"/>
      <c r="AE155" s="310"/>
      <c r="AF155" s="310"/>
      <c r="AG155" s="311"/>
      <c r="AH155" s="311"/>
      <c r="AI155" s="312"/>
      <c r="AJ155" s="310"/>
      <c r="AK155" s="314"/>
      <c r="AL155" s="314"/>
      <c r="AM155" s="314">
        <v>76153</v>
      </c>
      <c r="AN155" s="314">
        <v>38283</v>
      </c>
      <c r="AO155" s="314">
        <v>22319</v>
      </c>
      <c r="AP155" s="314">
        <v>11220</v>
      </c>
      <c r="AQ155" s="314"/>
      <c r="AR155" s="314"/>
      <c r="AS155" s="314"/>
      <c r="AT155" s="314"/>
      <c r="AU155" s="314"/>
      <c r="AV155" s="314"/>
      <c r="AW155" s="314"/>
      <c r="AX155" s="314"/>
      <c r="AY155" s="315"/>
      <c r="AZ155" s="315"/>
      <c r="BA155" s="315"/>
      <c r="BB155" s="315"/>
      <c r="BC155" s="315"/>
      <c r="BD155" s="315"/>
      <c r="BE155" s="315"/>
      <c r="BF155" s="315"/>
      <c r="BG155" s="315"/>
      <c r="BH155" s="315"/>
      <c r="BI155" s="315"/>
      <c r="BJ155" s="315"/>
      <c r="BK155" s="315"/>
      <c r="BL155" s="315"/>
      <c r="BM155" s="315"/>
      <c r="BN155" s="315"/>
      <c r="BO155" s="315"/>
      <c r="BP155" s="315"/>
      <c r="BQ155" s="315"/>
      <c r="BR155" s="315"/>
      <c r="BS155" s="315"/>
      <c r="BT155" s="315"/>
      <c r="BU155" s="315"/>
      <c r="BV155" s="315"/>
      <c r="BW155" s="311"/>
      <c r="BX155" s="311"/>
      <c r="BY155" s="311"/>
      <c r="BZ155" s="311"/>
      <c r="CA155" s="311"/>
      <c r="CB155" s="311"/>
      <c r="CC155" s="311"/>
      <c r="CD155" s="311"/>
      <c r="CE155" s="311"/>
      <c r="CF155" s="311"/>
      <c r="CG155" s="311"/>
      <c r="CH155" s="310">
        <v>76153</v>
      </c>
      <c r="CI155" s="310">
        <v>38283</v>
      </c>
      <c r="CJ155" s="310"/>
      <c r="CK155" s="310"/>
      <c r="CL155" s="310"/>
      <c r="CM155" s="310"/>
      <c r="CN155" s="310"/>
      <c r="CO155" s="310"/>
      <c r="CP155" s="310"/>
      <c r="CQ155" s="311" t="s">
        <v>744</v>
      </c>
      <c r="CR155" s="311" t="s">
        <v>742</v>
      </c>
      <c r="CS155" s="311" t="s">
        <v>742</v>
      </c>
      <c r="CT155" s="311"/>
      <c r="CU155" s="311"/>
      <c r="CV155" s="311"/>
      <c r="CW155" s="311"/>
      <c r="CX155" s="311"/>
      <c r="CY155" s="311"/>
      <c r="CZ155" s="311"/>
      <c r="DA155" s="311"/>
      <c r="DB155" s="311"/>
      <c r="DC155" s="311"/>
      <c r="DD155" s="311"/>
      <c r="DE155" s="316"/>
      <c r="DF155" s="314"/>
      <c r="DG155" s="314"/>
      <c r="DH155" s="314"/>
      <c r="DI155" s="314"/>
      <c r="DJ155" s="314"/>
      <c r="DK155" s="314">
        <v>0</v>
      </c>
      <c r="DL155" s="314">
        <v>0</v>
      </c>
      <c r="DM155" s="314">
        <v>0</v>
      </c>
      <c r="DN155" s="314">
        <v>0</v>
      </c>
      <c r="DO155" s="314">
        <v>0</v>
      </c>
      <c r="DP155" s="314">
        <v>0</v>
      </c>
      <c r="DQ155" s="314">
        <v>0</v>
      </c>
      <c r="DR155" s="314">
        <v>22319</v>
      </c>
      <c r="DS155" s="314">
        <v>0</v>
      </c>
      <c r="DT155" s="314">
        <v>0</v>
      </c>
      <c r="DU155" s="314">
        <v>0</v>
      </c>
      <c r="DV155" s="314">
        <v>0</v>
      </c>
      <c r="DW155" s="314">
        <v>22319</v>
      </c>
      <c r="DX155" s="314">
        <v>0</v>
      </c>
      <c r="DY155" s="314">
        <v>22319</v>
      </c>
      <c r="DZ155" s="314">
        <v>0</v>
      </c>
      <c r="EA155" s="314">
        <v>22319</v>
      </c>
      <c r="EB155" s="314">
        <v>0</v>
      </c>
      <c r="EC155" s="317">
        <v>0</v>
      </c>
      <c r="ED155" s="317">
        <v>0</v>
      </c>
      <c r="EE155" s="317">
        <v>0</v>
      </c>
      <c r="EF155" s="317">
        <v>0</v>
      </c>
      <c r="EG155" s="317">
        <v>0</v>
      </c>
      <c r="EH155" s="317">
        <v>0</v>
      </c>
      <c r="EI155" s="317">
        <v>0</v>
      </c>
      <c r="EJ155" s="317">
        <v>1</v>
      </c>
      <c r="EK155" s="317">
        <v>0</v>
      </c>
      <c r="EL155" s="317">
        <v>0</v>
      </c>
      <c r="EM155" s="317">
        <v>0</v>
      </c>
      <c r="EN155" s="317">
        <v>0</v>
      </c>
      <c r="EO155" s="317">
        <v>1</v>
      </c>
      <c r="EP155" s="317">
        <v>0</v>
      </c>
      <c r="EQ155" s="317">
        <v>1</v>
      </c>
      <c r="ER155" s="317">
        <v>0</v>
      </c>
      <c r="ES155" s="317">
        <v>1</v>
      </c>
      <c r="ET155" s="317">
        <v>0</v>
      </c>
    </row>
    <row r="156" spans="1:150" x14ac:dyDescent="0.25">
      <c r="A156" s="310">
        <v>8481</v>
      </c>
      <c r="B156" s="310">
        <v>2023</v>
      </c>
      <c r="C156" s="310" t="s">
        <v>10</v>
      </c>
      <c r="D156" s="310" t="s">
        <v>1006</v>
      </c>
      <c r="E156" s="310">
        <v>57740</v>
      </c>
      <c r="F156" s="310" t="s">
        <v>746</v>
      </c>
      <c r="G156" s="310">
        <v>17718</v>
      </c>
      <c r="H156" s="310" t="s">
        <v>1007</v>
      </c>
      <c r="I156" s="310">
        <v>57058</v>
      </c>
      <c r="J156" s="310" t="s">
        <v>748</v>
      </c>
      <c r="K156" s="310" t="s">
        <v>749</v>
      </c>
      <c r="L156" s="310" t="s">
        <v>750</v>
      </c>
      <c r="M156" s="310" t="s">
        <v>732</v>
      </c>
      <c r="N156" s="310" t="s">
        <v>752</v>
      </c>
      <c r="O156" s="310" t="s">
        <v>753</v>
      </c>
      <c r="P156" s="310"/>
      <c r="Q156" s="310" t="s">
        <v>735</v>
      </c>
      <c r="R156" s="310" t="s">
        <v>939</v>
      </c>
      <c r="S156" s="310" t="s">
        <v>940</v>
      </c>
      <c r="T156" s="310">
        <v>32.345556000000002</v>
      </c>
      <c r="U156" s="310">
        <v>-104.234722</v>
      </c>
      <c r="V156" s="310"/>
      <c r="W156" s="311">
        <v>1</v>
      </c>
      <c r="X156" s="311">
        <v>1</v>
      </c>
      <c r="Y156" s="310" t="s">
        <v>826</v>
      </c>
      <c r="Z156" s="310" t="s">
        <v>827</v>
      </c>
      <c r="AA156" s="310"/>
      <c r="AB156" s="312">
        <v>0.2253</v>
      </c>
      <c r="AC156" s="313">
        <v>10.1</v>
      </c>
      <c r="AD156" s="312"/>
      <c r="AE156" s="310"/>
      <c r="AF156" s="310"/>
      <c r="AG156" s="311"/>
      <c r="AH156" s="311"/>
      <c r="AI156" s="312"/>
      <c r="AJ156" s="310"/>
      <c r="AK156" s="314"/>
      <c r="AL156" s="314"/>
      <c r="AM156" s="314">
        <v>68015</v>
      </c>
      <c r="AN156" s="314">
        <v>33246</v>
      </c>
      <c r="AO156" s="314">
        <v>19934</v>
      </c>
      <c r="AP156" s="314">
        <v>9744</v>
      </c>
      <c r="AQ156" s="314"/>
      <c r="AR156" s="314"/>
      <c r="AS156" s="314"/>
      <c r="AT156" s="314"/>
      <c r="AU156" s="314"/>
      <c r="AV156" s="314"/>
      <c r="AW156" s="314"/>
      <c r="AX156" s="314"/>
      <c r="AY156" s="315"/>
      <c r="AZ156" s="315"/>
      <c r="BA156" s="315"/>
      <c r="BB156" s="315"/>
      <c r="BC156" s="315"/>
      <c r="BD156" s="315"/>
      <c r="BE156" s="315"/>
      <c r="BF156" s="315"/>
      <c r="BG156" s="315"/>
      <c r="BH156" s="315"/>
      <c r="BI156" s="315"/>
      <c r="BJ156" s="315"/>
      <c r="BK156" s="315"/>
      <c r="BL156" s="315"/>
      <c r="BM156" s="315"/>
      <c r="BN156" s="315"/>
      <c r="BO156" s="315"/>
      <c r="BP156" s="315"/>
      <c r="BQ156" s="315"/>
      <c r="BR156" s="315"/>
      <c r="BS156" s="315"/>
      <c r="BT156" s="315"/>
      <c r="BU156" s="315"/>
      <c r="BV156" s="315"/>
      <c r="BW156" s="311"/>
      <c r="BX156" s="311"/>
      <c r="BY156" s="311"/>
      <c r="BZ156" s="311"/>
      <c r="CA156" s="311"/>
      <c r="CB156" s="311"/>
      <c r="CC156" s="311"/>
      <c r="CD156" s="311"/>
      <c r="CE156" s="311"/>
      <c r="CF156" s="311"/>
      <c r="CG156" s="311"/>
      <c r="CH156" s="310">
        <v>68015</v>
      </c>
      <c r="CI156" s="310">
        <v>33246</v>
      </c>
      <c r="CJ156" s="310"/>
      <c r="CK156" s="310"/>
      <c r="CL156" s="310"/>
      <c r="CM156" s="310"/>
      <c r="CN156" s="310"/>
      <c r="CO156" s="310"/>
      <c r="CP156" s="310"/>
      <c r="CQ156" s="311" t="s">
        <v>744</v>
      </c>
      <c r="CR156" s="311" t="s">
        <v>742</v>
      </c>
      <c r="CS156" s="311" t="s">
        <v>742</v>
      </c>
      <c r="CT156" s="311"/>
      <c r="CU156" s="311"/>
      <c r="CV156" s="311"/>
      <c r="CW156" s="311"/>
      <c r="CX156" s="311"/>
      <c r="CY156" s="311"/>
      <c r="CZ156" s="311"/>
      <c r="DA156" s="311"/>
      <c r="DB156" s="311"/>
      <c r="DC156" s="311"/>
      <c r="DD156" s="311"/>
      <c r="DE156" s="316"/>
      <c r="DF156" s="314"/>
      <c r="DG156" s="314"/>
      <c r="DH156" s="314"/>
      <c r="DI156" s="314"/>
      <c r="DJ156" s="314"/>
      <c r="DK156" s="314">
        <v>0</v>
      </c>
      <c r="DL156" s="314">
        <v>0</v>
      </c>
      <c r="DM156" s="314">
        <v>0</v>
      </c>
      <c r="DN156" s="314">
        <v>0</v>
      </c>
      <c r="DO156" s="314">
        <v>0</v>
      </c>
      <c r="DP156" s="314">
        <v>0</v>
      </c>
      <c r="DQ156" s="314">
        <v>0</v>
      </c>
      <c r="DR156" s="314">
        <v>19934</v>
      </c>
      <c r="DS156" s="314">
        <v>0</v>
      </c>
      <c r="DT156" s="314">
        <v>0</v>
      </c>
      <c r="DU156" s="314">
        <v>0</v>
      </c>
      <c r="DV156" s="314">
        <v>0</v>
      </c>
      <c r="DW156" s="314">
        <v>19934</v>
      </c>
      <c r="DX156" s="314">
        <v>0</v>
      </c>
      <c r="DY156" s="314">
        <v>19934</v>
      </c>
      <c r="DZ156" s="314">
        <v>0</v>
      </c>
      <c r="EA156" s="314">
        <v>19934</v>
      </c>
      <c r="EB156" s="314">
        <v>0</v>
      </c>
      <c r="EC156" s="317">
        <v>0</v>
      </c>
      <c r="ED156" s="317">
        <v>0</v>
      </c>
      <c r="EE156" s="317">
        <v>0</v>
      </c>
      <c r="EF156" s="317">
        <v>0</v>
      </c>
      <c r="EG156" s="317">
        <v>0</v>
      </c>
      <c r="EH156" s="317">
        <v>0</v>
      </c>
      <c r="EI156" s="317">
        <v>0</v>
      </c>
      <c r="EJ156" s="317">
        <v>1</v>
      </c>
      <c r="EK156" s="317">
        <v>0</v>
      </c>
      <c r="EL156" s="317">
        <v>0</v>
      </c>
      <c r="EM156" s="317">
        <v>0</v>
      </c>
      <c r="EN156" s="317">
        <v>0</v>
      </c>
      <c r="EO156" s="317">
        <v>1</v>
      </c>
      <c r="EP156" s="317">
        <v>0</v>
      </c>
      <c r="EQ156" s="317">
        <v>1</v>
      </c>
      <c r="ER156" s="317">
        <v>0</v>
      </c>
      <c r="ES156" s="317">
        <v>1</v>
      </c>
      <c r="ET156" s="317">
        <v>0</v>
      </c>
    </row>
    <row r="157" spans="1:150" x14ac:dyDescent="0.25">
      <c r="A157" s="310">
        <v>8482</v>
      </c>
      <c r="B157" s="310">
        <v>2023</v>
      </c>
      <c r="C157" s="310" t="s">
        <v>10</v>
      </c>
      <c r="D157" s="310" t="s">
        <v>1008</v>
      </c>
      <c r="E157" s="310">
        <v>63578</v>
      </c>
      <c r="F157" s="310" t="s">
        <v>1009</v>
      </c>
      <c r="G157" s="310">
        <v>17715</v>
      </c>
      <c r="H157" s="310" t="s">
        <v>746</v>
      </c>
      <c r="I157" s="310">
        <v>17718</v>
      </c>
      <c r="J157" s="310" t="s">
        <v>729</v>
      </c>
      <c r="K157" s="310" t="s">
        <v>749</v>
      </c>
      <c r="L157" s="310" t="s">
        <v>750</v>
      </c>
      <c r="M157" s="310" t="s">
        <v>751</v>
      </c>
      <c r="N157" s="310" t="s">
        <v>733</v>
      </c>
      <c r="O157" s="310" t="s">
        <v>734</v>
      </c>
      <c r="P157" s="310"/>
      <c r="Q157" s="310" t="s">
        <v>735</v>
      </c>
      <c r="R157" s="310" t="s">
        <v>971</v>
      </c>
      <c r="S157" s="310" t="s">
        <v>972</v>
      </c>
      <c r="T157" s="310">
        <v>33.938420999999998</v>
      </c>
      <c r="U157" s="310">
        <v>-103.184611</v>
      </c>
      <c r="V157" s="310"/>
      <c r="W157" s="311">
        <v>1</v>
      </c>
      <c r="X157" s="311">
        <v>1</v>
      </c>
      <c r="Y157" s="310" t="s">
        <v>840</v>
      </c>
      <c r="Z157" s="310" t="s">
        <v>841</v>
      </c>
      <c r="AA157" s="310"/>
      <c r="AB157" s="312">
        <v>0.46787000000000001</v>
      </c>
      <c r="AC157" s="313">
        <v>522</v>
      </c>
      <c r="AD157" s="312"/>
      <c r="AE157" s="310"/>
      <c r="AF157" s="310"/>
      <c r="AG157" s="311"/>
      <c r="AH157" s="311"/>
      <c r="AI157" s="312"/>
      <c r="AJ157" s="310"/>
      <c r="AK157" s="314"/>
      <c r="AL157" s="314"/>
      <c r="AM157" s="314">
        <v>7299837</v>
      </c>
      <c r="AN157" s="314">
        <v>2723323</v>
      </c>
      <c r="AO157" s="314">
        <v>2139460</v>
      </c>
      <c r="AP157" s="314">
        <v>798160</v>
      </c>
      <c r="AQ157" s="314"/>
      <c r="AR157" s="314"/>
      <c r="AS157" s="314"/>
      <c r="AT157" s="314"/>
      <c r="AU157" s="314"/>
      <c r="AV157" s="314"/>
      <c r="AW157" s="314"/>
      <c r="AX157" s="314"/>
      <c r="AY157" s="315"/>
      <c r="AZ157" s="315"/>
      <c r="BA157" s="315"/>
      <c r="BB157" s="315"/>
      <c r="BC157" s="315"/>
      <c r="BD157" s="315"/>
      <c r="BE157" s="315"/>
      <c r="BF157" s="315"/>
      <c r="BG157" s="315"/>
      <c r="BH157" s="315"/>
      <c r="BI157" s="315"/>
      <c r="BJ157" s="315"/>
      <c r="BK157" s="315"/>
      <c r="BL157" s="315"/>
      <c r="BM157" s="315"/>
      <c r="BN157" s="315"/>
      <c r="BO157" s="315"/>
      <c r="BP157" s="315"/>
      <c r="BQ157" s="315"/>
      <c r="BR157" s="315"/>
      <c r="BS157" s="315"/>
      <c r="BT157" s="315"/>
      <c r="BU157" s="315"/>
      <c r="BV157" s="315"/>
      <c r="BW157" s="311"/>
      <c r="BX157" s="311"/>
      <c r="BY157" s="311"/>
      <c r="BZ157" s="311"/>
      <c r="CA157" s="311"/>
      <c r="CB157" s="311"/>
      <c r="CC157" s="311"/>
      <c r="CD157" s="311"/>
      <c r="CE157" s="311"/>
      <c r="CF157" s="311"/>
      <c r="CG157" s="311"/>
      <c r="CH157" s="310">
        <v>7299837</v>
      </c>
      <c r="CI157" s="310">
        <v>2723323</v>
      </c>
      <c r="CJ157" s="310"/>
      <c r="CK157" s="310"/>
      <c r="CL157" s="310"/>
      <c r="CM157" s="310"/>
      <c r="CN157" s="310"/>
      <c r="CO157" s="310"/>
      <c r="CP157" s="310"/>
      <c r="CQ157" s="311" t="s">
        <v>744</v>
      </c>
      <c r="CR157" s="311" t="s">
        <v>742</v>
      </c>
      <c r="CS157" s="311" t="s">
        <v>742</v>
      </c>
      <c r="CT157" s="311"/>
      <c r="CU157" s="311"/>
      <c r="CV157" s="311"/>
      <c r="CW157" s="311"/>
      <c r="CX157" s="311"/>
      <c r="CY157" s="311"/>
      <c r="CZ157" s="311"/>
      <c r="DA157" s="311"/>
      <c r="DB157" s="311"/>
      <c r="DC157" s="311"/>
      <c r="DD157" s="311"/>
      <c r="DE157" s="316"/>
      <c r="DF157" s="314"/>
      <c r="DG157" s="314"/>
      <c r="DH157" s="314"/>
      <c r="DI157" s="314"/>
      <c r="DJ157" s="314"/>
      <c r="DK157" s="314">
        <v>0</v>
      </c>
      <c r="DL157" s="314">
        <v>0</v>
      </c>
      <c r="DM157" s="314">
        <v>0</v>
      </c>
      <c r="DN157" s="314">
        <v>0</v>
      </c>
      <c r="DO157" s="314">
        <v>0</v>
      </c>
      <c r="DP157" s="314">
        <v>0</v>
      </c>
      <c r="DQ157" s="314">
        <v>2139460</v>
      </c>
      <c r="DR157" s="314">
        <v>0</v>
      </c>
      <c r="DS157" s="314">
        <v>0</v>
      </c>
      <c r="DT157" s="314">
        <v>0</v>
      </c>
      <c r="DU157" s="314">
        <v>0</v>
      </c>
      <c r="DV157" s="314">
        <v>0</v>
      </c>
      <c r="DW157" s="314">
        <v>2139460</v>
      </c>
      <c r="DX157" s="314">
        <v>0</v>
      </c>
      <c r="DY157" s="314">
        <v>2139460</v>
      </c>
      <c r="DZ157" s="314">
        <v>0</v>
      </c>
      <c r="EA157" s="314">
        <v>2139460</v>
      </c>
      <c r="EB157" s="314">
        <v>0</v>
      </c>
      <c r="EC157" s="317">
        <v>0</v>
      </c>
      <c r="ED157" s="317">
        <v>0</v>
      </c>
      <c r="EE157" s="317">
        <v>0</v>
      </c>
      <c r="EF157" s="317">
        <v>0</v>
      </c>
      <c r="EG157" s="317">
        <v>0</v>
      </c>
      <c r="EH157" s="317">
        <v>0</v>
      </c>
      <c r="EI157" s="317">
        <v>1</v>
      </c>
      <c r="EJ157" s="317">
        <v>0</v>
      </c>
      <c r="EK157" s="317">
        <v>0</v>
      </c>
      <c r="EL157" s="317">
        <v>0</v>
      </c>
      <c r="EM157" s="317">
        <v>0</v>
      </c>
      <c r="EN157" s="317">
        <v>0</v>
      </c>
      <c r="EO157" s="317">
        <v>1</v>
      </c>
      <c r="EP157" s="317">
        <v>0</v>
      </c>
      <c r="EQ157" s="317">
        <v>1</v>
      </c>
      <c r="ER157" s="317">
        <v>0</v>
      </c>
      <c r="ES157" s="317">
        <v>1</v>
      </c>
      <c r="ET157" s="317">
        <v>0</v>
      </c>
    </row>
    <row r="158" spans="1:150" x14ac:dyDescent="0.25">
      <c r="A158" s="310">
        <v>8483</v>
      </c>
      <c r="B158" s="310">
        <v>2023</v>
      </c>
      <c r="C158" s="310" t="s">
        <v>10</v>
      </c>
      <c r="D158" s="310" t="s">
        <v>1010</v>
      </c>
      <c r="E158" s="310">
        <v>56304</v>
      </c>
      <c r="F158" s="310" t="s">
        <v>746</v>
      </c>
      <c r="G158" s="310">
        <v>17718</v>
      </c>
      <c r="H158" s="310" t="s">
        <v>1011</v>
      </c>
      <c r="I158" s="310">
        <v>59883</v>
      </c>
      <c r="J158" s="310" t="s">
        <v>748</v>
      </c>
      <c r="K158" s="310" t="s">
        <v>749</v>
      </c>
      <c r="L158" s="310" t="s">
        <v>750</v>
      </c>
      <c r="M158" s="310" t="s">
        <v>751</v>
      </c>
      <c r="N158" s="310" t="s">
        <v>752</v>
      </c>
      <c r="O158" s="310" t="s">
        <v>753</v>
      </c>
      <c r="P158" s="310"/>
      <c r="Q158" s="310" t="s">
        <v>735</v>
      </c>
      <c r="R158" s="310" t="s">
        <v>971</v>
      </c>
      <c r="S158" s="310" t="s">
        <v>972</v>
      </c>
      <c r="T158" s="310">
        <v>33.971600000000002</v>
      </c>
      <c r="U158" s="310">
        <v>-103.8604</v>
      </c>
      <c r="V158" s="310"/>
      <c r="W158" s="311">
        <v>1</v>
      </c>
      <c r="X158" s="311">
        <v>1</v>
      </c>
      <c r="Y158" s="310" t="s">
        <v>840</v>
      </c>
      <c r="Z158" s="310" t="s">
        <v>841</v>
      </c>
      <c r="AA158" s="310"/>
      <c r="AB158" s="312">
        <v>0.18310000000000001</v>
      </c>
      <c r="AC158" s="313">
        <v>120</v>
      </c>
      <c r="AD158" s="312"/>
      <c r="AE158" s="310"/>
      <c r="AF158" s="310"/>
      <c r="AG158" s="311"/>
      <c r="AH158" s="311"/>
      <c r="AI158" s="312"/>
      <c r="AJ158" s="310"/>
      <c r="AK158" s="314"/>
      <c r="AL158" s="314"/>
      <c r="AM158" s="314">
        <v>656728</v>
      </c>
      <c r="AN158" s="314">
        <v>355173</v>
      </c>
      <c r="AO158" s="314">
        <v>192476</v>
      </c>
      <c r="AP158" s="314">
        <v>104095</v>
      </c>
      <c r="AQ158" s="314"/>
      <c r="AR158" s="314"/>
      <c r="AS158" s="314"/>
      <c r="AT158" s="314"/>
      <c r="AU158" s="314"/>
      <c r="AV158" s="314"/>
      <c r="AW158" s="314"/>
      <c r="AX158" s="314"/>
      <c r="AY158" s="315"/>
      <c r="AZ158" s="315"/>
      <c r="BA158" s="315"/>
      <c r="BB158" s="315"/>
      <c r="BC158" s="315"/>
      <c r="BD158" s="315"/>
      <c r="BE158" s="315"/>
      <c r="BF158" s="315"/>
      <c r="BG158" s="315"/>
      <c r="BH158" s="315"/>
      <c r="BI158" s="315"/>
      <c r="BJ158" s="315"/>
      <c r="BK158" s="315"/>
      <c r="BL158" s="315"/>
      <c r="BM158" s="315"/>
      <c r="BN158" s="315"/>
      <c r="BO158" s="315"/>
      <c r="BP158" s="315"/>
      <c r="BQ158" s="315"/>
      <c r="BR158" s="315"/>
      <c r="BS158" s="315"/>
      <c r="BT158" s="315"/>
      <c r="BU158" s="315"/>
      <c r="BV158" s="315"/>
      <c r="BW158" s="311"/>
      <c r="BX158" s="311"/>
      <c r="BY158" s="311"/>
      <c r="BZ158" s="311"/>
      <c r="CA158" s="311"/>
      <c r="CB158" s="311"/>
      <c r="CC158" s="311"/>
      <c r="CD158" s="311"/>
      <c r="CE158" s="311"/>
      <c r="CF158" s="311"/>
      <c r="CG158" s="311"/>
      <c r="CH158" s="310">
        <v>656728</v>
      </c>
      <c r="CI158" s="310">
        <v>355173</v>
      </c>
      <c r="CJ158" s="310"/>
      <c r="CK158" s="310"/>
      <c r="CL158" s="310"/>
      <c r="CM158" s="310"/>
      <c r="CN158" s="310"/>
      <c r="CO158" s="310"/>
      <c r="CP158" s="310"/>
      <c r="CQ158" s="311" t="s">
        <v>744</v>
      </c>
      <c r="CR158" s="311" t="s">
        <v>742</v>
      </c>
      <c r="CS158" s="311" t="s">
        <v>742</v>
      </c>
      <c r="CT158" s="311"/>
      <c r="CU158" s="311"/>
      <c r="CV158" s="311"/>
      <c r="CW158" s="311"/>
      <c r="CX158" s="311"/>
      <c r="CY158" s="311"/>
      <c r="CZ158" s="311"/>
      <c r="DA158" s="311"/>
      <c r="DB158" s="311"/>
      <c r="DC158" s="311"/>
      <c r="DD158" s="311"/>
      <c r="DE158" s="316"/>
      <c r="DF158" s="314"/>
      <c r="DG158" s="314"/>
      <c r="DH158" s="314"/>
      <c r="DI158" s="314"/>
      <c r="DJ158" s="314"/>
      <c r="DK158" s="314">
        <v>0</v>
      </c>
      <c r="DL158" s="314">
        <v>0</v>
      </c>
      <c r="DM158" s="314">
        <v>0</v>
      </c>
      <c r="DN158" s="314">
        <v>0</v>
      </c>
      <c r="DO158" s="314">
        <v>0</v>
      </c>
      <c r="DP158" s="314">
        <v>0</v>
      </c>
      <c r="DQ158" s="314">
        <v>192476</v>
      </c>
      <c r="DR158" s="314">
        <v>0</v>
      </c>
      <c r="DS158" s="314">
        <v>0</v>
      </c>
      <c r="DT158" s="314">
        <v>0</v>
      </c>
      <c r="DU158" s="314">
        <v>0</v>
      </c>
      <c r="DV158" s="314">
        <v>0</v>
      </c>
      <c r="DW158" s="314">
        <v>192476</v>
      </c>
      <c r="DX158" s="314">
        <v>0</v>
      </c>
      <c r="DY158" s="314">
        <v>192476</v>
      </c>
      <c r="DZ158" s="314">
        <v>0</v>
      </c>
      <c r="EA158" s="314">
        <v>192476</v>
      </c>
      <c r="EB158" s="314">
        <v>0</v>
      </c>
      <c r="EC158" s="317">
        <v>0</v>
      </c>
      <c r="ED158" s="317">
        <v>0</v>
      </c>
      <c r="EE158" s="317">
        <v>0</v>
      </c>
      <c r="EF158" s="317">
        <v>0</v>
      </c>
      <c r="EG158" s="317">
        <v>0</v>
      </c>
      <c r="EH158" s="317">
        <v>0</v>
      </c>
      <c r="EI158" s="317">
        <v>1</v>
      </c>
      <c r="EJ158" s="317">
        <v>0</v>
      </c>
      <c r="EK158" s="317">
        <v>0</v>
      </c>
      <c r="EL158" s="317">
        <v>0</v>
      </c>
      <c r="EM158" s="317">
        <v>0</v>
      </c>
      <c r="EN158" s="317">
        <v>0</v>
      </c>
      <c r="EO158" s="317">
        <v>1</v>
      </c>
      <c r="EP158" s="317">
        <v>0</v>
      </c>
      <c r="EQ158" s="317">
        <v>1</v>
      </c>
      <c r="ER158" s="317">
        <v>0</v>
      </c>
      <c r="ES158" s="317">
        <v>1</v>
      </c>
      <c r="ET158" s="317">
        <v>0</v>
      </c>
    </row>
    <row r="159" spans="1:150" x14ac:dyDescent="0.25">
      <c r="A159" s="310">
        <v>8484</v>
      </c>
      <c r="B159" s="310">
        <v>2023</v>
      </c>
      <c r="C159" s="310" t="s">
        <v>10</v>
      </c>
      <c r="D159" s="310" t="s">
        <v>1012</v>
      </c>
      <c r="E159" s="310">
        <v>63081</v>
      </c>
      <c r="F159" s="310" t="s">
        <v>759</v>
      </c>
      <c r="G159" s="310">
        <v>15473</v>
      </c>
      <c r="H159" s="310" t="s">
        <v>823</v>
      </c>
      <c r="I159" s="310">
        <v>59300</v>
      </c>
      <c r="J159" s="310" t="s">
        <v>729</v>
      </c>
      <c r="K159" s="310" t="s">
        <v>760</v>
      </c>
      <c r="L159" s="310" t="s">
        <v>761</v>
      </c>
      <c r="M159" s="310" t="s">
        <v>732</v>
      </c>
      <c r="N159" s="310" t="s">
        <v>733</v>
      </c>
      <c r="O159" s="310" t="s">
        <v>734</v>
      </c>
      <c r="P159" s="310"/>
      <c r="Q159" s="310" t="s">
        <v>735</v>
      </c>
      <c r="R159" s="310" t="s">
        <v>952</v>
      </c>
      <c r="S159" s="310" t="s">
        <v>953</v>
      </c>
      <c r="T159" s="310">
        <v>35.634569999999997</v>
      </c>
      <c r="U159" s="310">
        <v>-105.1784</v>
      </c>
      <c r="V159" s="310"/>
      <c r="W159" s="311">
        <v>1</v>
      </c>
      <c r="X159" s="311">
        <v>1</v>
      </c>
      <c r="Y159" s="310" t="s">
        <v>826</v>
      </c>
      <c r="Z159" s="310" t="s">
        <v>827</v>
      </c>
      <c r="AA159" s="310"/>
      <c r="AB159" s="312">
        <v>0.30430000000000001</v>
      </c>
      <c r="AC159" s="313">
        <v>10</v>
      </c>
      <c r="AD159" s="312"/>
      <c r="AE159" s="310"/>
      <c r="AF159" s="310"/>
      <c r="AG159" s="311"/>
      <c r="AH159" s="311"/>
      <c r="AI159" s="312"/>
      <c r="AJ159" s="310"/>
      <c r="AK159" s="314"/>
      <c r="AL159" s="314"/>
      <c r="AM159" s="314">
        <v>90953</v>
      </c>
      <c r="AN159" s="314">
        <v>43516</v>
      </c>
      <c r="AO159" s="314">
        <v>26657</v>
      </c>
      <c r="AP159" s="314">
        <v>12754</v>
      </c>
      <c r="AQ159" s="314"/>
      <c r="AR159" s="314"/>
      <c r="AS159" s="314"/>
      <c r="AT159" s="314"/>
      <c r="AU159" s="314"/>
      <c r="AV159" s="314"/>
      <c r="AW159" s="314"/>
      <c r="AX159" s="314"/>
      <c r="AY159" s="315"/>
      <c r="AZ159" s="315"/>
      <c r="BA159" s="315"/>
      <c r="BB159" s="315"/>
      <c r="BC159" s="315"/>
      <c r="BD159" s="315"/>
      <c r="BE159" s="315"/>
      <c r="BF159" s="315"/>
      <c r="BG159" s="315"/>
      <c r="BH159" s="315"/>
      <c r="BI159" s="315"/>
      <c r="BJ159" s="315"/>
      <c r="BK159" s="315"/>
      <c r="BL159" s="315"/>
      <c r="BM159" s="315"/>
      <c r="BN159" s="315"/>
      <c r="BO159" s="315"/>
      <c r="BP159" s="315"/>
      <c r="BQ159" s="315"/>
      <c r="BR159" s="315"/>
      <c r="BS159" s="315"/>
      <c r="BT159" s="315"/>
      <c r="BU159" s="315"/>
      <c r="BV159" s="315"/>
      <c r="BW159" s="311"/>
      <c r="BX159" s="311"/>
      <c r="BY159" s="311"/>
      <c r="BZ159" s="311"/>
      <c r="CA159" s="311"/>
      <c r="CB159" s="311"/>
      <c r="CC159" s="311"/>
      <c r="CD159" s="311"/>
      <c r="CE159" s="311"/>
      <c r="CF159" s="311"/>
      <c r="CG159" s="311"/>
      <c r="CH159" s="310">
        <v>90953</v>
      </c>
      <c r="CI159" s="310">
        <v>43516</v>
      </c>
      <c r="CJ159" s="310"/>
      <c r="CK159" s="310"/>
      <c r="CL159" s="310"/>
      <c r="CM159" s="310"/>
      <c r="CN159" s="310"/>
      <c r="CO159" s="310"/>
      <c r="CP159" s="310"/>
      <c r="CQ159" s="311" t="s">
        <v>744</v>
      </c>
      <c r="CR159" s="311" t="s">
        <v>742</v>
      </c>
      <c r="CS159" s="311" t="s">
        <v>742</v>
      </c>
      <c r="CT159" s="311"/>
      <c r="CU159" s="311"/>
      <c r="CV159" s="311"/>
      <c r="CW159" s="311"/>
      <c r="CX159" s="311"/>
      <c r="CY159" s="311"/>
      <c r="CZ159" s="311"/>
      <c r="DA159" s="311"/>
      <c r="DB159" s="311"/>
      <c r="DC159" s="311"/>
      <c r="DD159" s="311"/>
      <c r="DE159" s="316"/>
      <c r="DF159" s="314"/>
      <c r="DG159" s="314"/>
      <c r="DH159" s="314"/>
      <c r="DI159" s="314"/>
      <c r="DJ159" s="314"/>
      <c r="DK159" s="314">
        <v>0</v>
      </c>
      <c r="DL159" s="314">
        <v>0</v>
      </c>
      <c r="DM159" s="314">
        <v>0</v>
      </c>
      <c r="DN159" s="314">
        <v>0</v>
      </c>
      <c r="DO159" s="314">
        <v>0</v>
      </c>
      <c r="DP159" s="314">
        <v>0</v>
      </c>
      <c r="DQ159" s="314">
        <v>0</v>
      </c>
      <c r="DR159" s="314">
        <v>26657</v>
      </c>
      <c r="DS159" s="314">
        <v>0</v>
      </c>
      <c r="DT159" s="314">
        <v>0</v>
      </c>
      <c r="DU159" s="314">
        <v>0</v>
      </c>
      <c r="DV159" s="314">
        <v>0</v>
      </c>
      <c r="DW159" s="314">
        <v>26657</v>
      </c>
      <c r="DX159" s="314">
        <v>0</v>
      </c>
      <c r="DY159" s="314">
        <v>26657</v>
      </c>
      <c r="DZ159" s="314">
        <v>0</v>
      </c>
      <c r="EA159" s="314">
        <v>26657</v>
      </c>
      <c r="EB159" s="314">
        <v>0</v>
      </c>
      <c r="EC159" s="317">
        <v>0</v>
      </c>
      <c r="ED159" s="317">
        <v>0</v>
      </c>
      <c r="EE159" s="317">
        <v>0</v>
      </c>
      <c r="EF159" s="317">
        <v>0</v>
      </c>
      <c r="EG159" s="317">
        <v>0</v>
      </c>
      <c r="EH159" s="317">
        <v>0</v>
      </c>
      <c r="EI159" s="317">
        <v>0</v>
      </c>
      <c r="EJ159" s="317">
        <v>1</v>
      </c>
      <c r="EK159" s="317">
        <v>0</v>
      </c>
      <c r="EL159" s="317">
        <v>0</v>
      </c>
      <c r="EM159" s="317">
        <v>0</v>
      </c>
      <c r="EN159" s="317">
        <v>0</v>
      </c>
      <c r="EO159" s="317">
        <v>1</v>
      </c>
      <c r="EP159" s="317">
        <v>0</v>
      </c>
      <c r="EQ159" s="317">
        <v>1</v>
      </c>
      <c r="ER159" s="317">
        <v>0</v>
      </c>
      <c r="ES159" s="317">
        <v>1</v>
      </c>
      <c r="ET159" s="317">
        <v>0</v>
      </c>
    </row>
    <row r="160" spans="1:150" x14ac:dyDescent="0.25">
      <c r="A160" s="310">
        <v>8485</v>
      </c>
      <c r="B160" s="310">
        <v>2023</v>
      </c>
      <c r="C160" s="310" t="s">
        <v>10</v>
      </c>
      <c r="D160" s="310" t="s">
        <v>1013</v>
      </c>
      <c r="E160" s="310">
        <v>63082</v>
      </c>
      <c r="F160" s="310" t="s">
        <v>759</v>
      </c>
      <c r="G160" s="310">
        <v>15473</v>
      </c>
      <c r="H160" s="310" t="s">
        <v>823</v>
      </c>
      <c r="I160" s="310">
        <v>59300</v>
      </c>
      <c r="J160" s="310" t="s">
        <v>729</v>
      </c>
      <c r="K160" s="310" t="s">
        <v>760</v>
      </c>
      <c r="L160" s="310" t="s">
        <v>761</v>
      </c>
      <c r="M160" s="310" t="s">
        <v>732</v>
      </c>
      <c r="N160" s="310" t="s">
        <v>733</v>
      </c>
      <c r="O160" s="310" t="s">
        <v>734</v>
      </c>
      <c r="P160" s="310"/>
      <c r="Q160" s="310" t="s">
        <v>735</v>
      </c>
      <c r="R160" s="310" t="s">
        <v>952</v>
      </c>
      <c r="S160" s="310" t="s">
        <v>953</v>
      </c>
      <c r="T160" s="310">
        <v>35.634709999999998</v>
      </c>
      <c r="U160" s="310">
        <v>-105.17319999999999</v>
      </c>
      <c r="V160" s="310"/>
      <c r="W160" s="311">
        <v>1</v>
      </c>
      <c r="X160" s="311">
        <v>1</v>
      </c>
      <c r="Y160" s="310" t="s">
        <v>826</v>
      </c>
      <c r="Z160" s="310" t="s">
        <v>827</v>
      </c>
      <c r="AA160" s="310"/>
      <c r="AB160" s="312">
        <v>0.30023</v>
      </c>
      <c r="AC160" s="313">
        <v>10</v>
      </c>
      <c r="AD160" s="312"/>
      <c r="AE160" s="310"/>
      <c r="AF160" s="310"/>
      <c r="AG160" s="311"/>
      <c r="AH160" s="311"/>
      <c r="AI160" s="312"/>
      <c r="AJ160" s="310"/>
      <c r="AK160" s="314"/>
      <c r="AL160" s="314"/>
      <c r="AM160" s="314">
        <v>89734</v>
      </c>
      <c r="AN160" s="314">
        <v>43345</v>
      </c>
      <c r="AO160" s="314">
        <v>26300</v>
      </c>
      <c r="AP160" s="314">
        <v>12704</v>
      </c>
      <c r="AQ160" s="314"/>
      <c r="AR160" s="314"/>
      <c r="AS160" s="314"/>
      <c r="AT160" s="314"/>
      <c r="AU160" s="314"/>
      <c r="AV160" s="314"/>
      <c r="AW160" s="314"/>
      <c r="AX160" s="314"/>
      <c r="AY160" s="315"/>
      <c r="AZ160" s="315"/>
      <c r="BA160" s="315"/>
      <c r="BB160" s="315"/>
      <c r="BC160" s="315"/>
      <c r="BD160" s="315"/>
      <c r="BE160" s="315"/>
      <c r="BF160" s="315"/>
      <c r="BG160" s="315"/>
      <c r="BH160" s="315"/>
      <c r="BI160" s="315"/>
      <c r="BJ160" s="315"/>
      <c r="BK160" s="315"/>
      <c r="BL160" s="315"/>
      <c r="BM160" s="315"/>
      <c r="BN160" s="315"/>
      <c r="BO160" s="315"/>
      <c r="BP160" s="315"/>
      <c r="BQ160" s="315"/>
      <c r="BR160" s="315"/>
      <c r="BS160" s="315"/>
      <c r="BT160" s="315"/>
      <c r="BU160" s="315"/>
      <c r="BV160" s="315"/>
      <c r="BW160" s="311"/>
      <c r="BX160" s="311"/>
      <c r="BY160" s="311"/>
      <c r="BZ160" s="311"/>
      <c r="CA160" s="311"/>
      <c r="CB160" s="311"/>
      <c r="CC160" s="311"/>
      <c r="CD160" s="311"/>
      <c r="CE160" s="311"/>
      <c r="CF160" s="311"/>
      <c r="CG160" s="311"/>
      <c r="CH160" s="310">
        <v>89734</v>
      </c>
      <c r="CI160" s="310">
        <v>43345</v>
      </c>
      <c r="CJ160" s="310"/>
      <c r="CK160" s="310"/>
      <c r="CL160" s="310"/>
      <c r="CM160" s="310"/>
      <c r="CN160" s="310"/>
      <c r="CO160" s="310"/>
      <c r="CP160" s="310"/>
      <c r="CQ160" s="311" t="s">
        <v>744</v>
      </c>
      <c r="CR160" s="311" t="s">
        <v>742</v>
      </c>
      <c r="CS160" s="311" t="s">
        <v>742</v>
      </c>
      <c r="CT160" s="311"/>
      <c r="CU160" s="311"/>
      <c r="CV160" s="311"/>
      <c r="CW160" s="311"/>
      <c r="CX160" s="311"/>
      <c r="CY160" s="311"/>
      <c r="CZ160" s="311"/>
      <c r="DA160" s="311"/>
      <c r="DB160" s="311"/>
      <c r="DC160" s="311"/>
      <c r="DD160" s="311"/>
      <c r="DE160" s="316"/>
      <c r="DF160" s="314"/>
      <c r="DG160" s="314"/>
      <c r="DH160" s="314"/>
      <c r="DI160" s="314"/>
      <c r="DJ160" s="314"/>
      <c r="DK160" s="314">
        <v>0</v>
      </c>
      <c r="DL160" s="314">
        <v>0</v>
      </c>
      <c r="DM160" s="314">
        <v>0</v>
      </c>
      <c r="DN160" s="314">
        <v>0</v>
      </c>
      <c r="DO160" s="314">
        <v>0</v>
      </c>
      <c r="DP160" s="314">
        <v>0</v>
      </c>
      <c r="DQ160" s="314">
        <v>0</v>
      </c>
      <c r="DR160" s="314">
        <v>26300</v>
      </c>
      <c r="DS160" s="314">
        <v>0</v>
      </c>
      <c r="DT160" s="314">
        <v>0</v>
      </c>
      <c r="DU160" s="314">
        <v>0</v>
      </c>
      <c r="DV160" s="314">
        <v>0</v>
      </c>
      <c r="DW160" s="314">
        <v>26300</v>
      </c>
      <c r="DX160" s="314">
        <v>0</v>
      </c>
      <c r="DY160" s="314">
        <v>26300</v>
      </c>
      <c r="DZ160" s="314">
        <v>0</v>
      </c>
      <c r="EA160" s="314">
        <v>26300</v>
      </c>
      <c r="EB160" s="314">
        <v>0</v>
      </c>
      <c r="EC160" s="317">
        <v>0</v>
      </c>
      <c r="ED160" s="317">
        <v>0</v>
      </c>
      <c r="EE160" s="317">
        <v>0</v>
      </c>
      <c r="EF160" s="317">
        <v>0</v>
      </c>
      <c r="EG160" s="317">
        <v>0</v>
      </c>
      <c r="EH160" s="317">
        <v>0</v>
      </c>
      <c r="EI160" s="317">
        <v>0</v>
      </c>
      <c r="EJ160" s="317">
        <v>1</v>
      </c>
      <c r="EK160" s="317">
        <v>0</v>
      </c>
      <c r="EL160" s="317">
        <v>0</v>
      </c>
      <c r="EM160" s="317">
        <v>0</v>
      </c>
      <c r="EN160" s="317">
        <v>0</v>
      </c>
      <c r="EO160" s="317">
        <v>1</v>
      </c>
      <c r="EP160" s="317">
        <v>0</v>
      </c>
      <c r="EQ160" s="317">
        <v>1</v>
      </c>
      <c r="ER160" s="317">
        <v>0</v>
      </c>
      <c r="ES160" s="317">
        <v>1</v>
      </c>
      <c r="ET160" s="317">
        <v>0</v>
      </c>
    </row>
    <row r="161" spans="1:150" x14ac:dyDescent="0.25">
      <c r="A161" s="310">
        <v>8486</v>
      </c>
      <c r="B161" s="310">
        <v>2023</v>
      </c>
      <c r="C161" s="310" t="s">
        <v>10</v>
      </c>
      <c r="D161" s="310" t="s">
        <v>1014</v>
      </c>
      <c r="E161" s="310">
        <v>59558</v>
      </c>
      <c r="F161" s="310" t="s">
        <v>759</v>
      </c>
      <c r="G161" s="310">
        <v>15473</v>
      </c>
      <c r="H161" s="310" t="s">
        <v>823</v>
      </c>
      <c r="I161" s="310">
        <v>59300</v>
      </c>
      <c r="J161" s="310" t="s">
        <v>729</v>
      </c>
      <c r="K161" s="310" t="s">
        <v>760</v>
      </c>
      <c r="L161" s="310" t="s">
        <v>761</v>
      </c>
      <c r="M161" s="310" t="s">
        <v>732</v>
      </c>
      <c r="N161" s="310" t="s">
        <v>733</v>
      </c>
      <c r="O161" s="310" t="s">
        <v>734</v>
      </c>
      <c r="P161" s="310"/>
      <c r="Q161" s="310" t="s">
        <v>735</v>
      </c>
      <c r="R161" s="310" t="s">
        <v>832</v>
      </c>
      <c r="S161" s="310" t="s">
        <v>833</v>
      </c>
      <c r="T161" s="310">
        <v>35.283611000000001</v>
      </c>
      <c r="U161" s="310">
        <v>-106.81277799999999</v>
      </c>
      <c r="V161" s="310"/>
      <c r="W161" s="311">
        <v>1</v>
      </c>
      <c r="X161" s="311">
        <v>1</v>
      </c>
      <c r="Y161" s="310" t="s">
        <v>826</v>
      </c>
      <c r="Z161" s="310" t="s">
        <v>827</v>
      </c>
      <c r="AA161" s="310"/>
      <c r="AB161" s="312">
        <v>0.29154999999999998</v>
      </c>
      <c r="AC161" s="313">
        <v>6.1</v>
      </c>
      <c r="AD161" s="312"/>
      <c r="AE161" s="310"/>
      <c r="AF161" s="310"/>
      <c r="AG161" s="311"/>
      <c r="AH161" s="311"/>
      <c r="AI161" s="312"/>
      <c r="AJ161" s="310"/>
      <c r="AK161" s="314"/>
      <c r="AL161" s="314"/>
      <c r="AM161" s="314">
        <v>53154</v>
      </c>
      <c r="AN161" s="314">
        <v>27200</v>
      </c>
      <c r="AO161" s="314">
        <v>15579</v>
      </c>
      <c r="AP161" s="314">
        <v>7972</v>
      </c>
      <c r="AQ161" s="314"/>
      <c r="AR161" s="314"/>
      <c r="AS161" s="314"/>
      <c r="AT161" s="314"/>
      <c r="AU161" s="314"/>
      <c r="AV161" s="314"/>
      <c r="AW161" s="314"/>
      <c r="AX161" s="314"/>
      <c r="AY161" s="315"/>
      <c r="AZ161" s="315"/>
      <c r="BA161" s="315"/>
      <c r="BB161" s="315"/>
      <c r="BC161" s="315"/>
      <c r="BD161" s="315"/>
      <c r="BE161" s="315"/>
      <c r="BF161" s="315"/>
      <c r="BG161" s="315"/>
      <c r="BH161" s="315"/>
      <c r="BI161" s="315"/>
      <c r="BJ161" s="315"/>
      <c r="BK161" s="315"/>
      <c r="BL161" s="315"/>
      <c r="BM161" s="315"/>
      <c r="BN161" s="315"/>
      <c r="BO161" s="315"/>
      <c r="BP161" s="315"/>
      <c r="BQ161" s="315"/>
      <c r="BR161" s="315"/>
      <c r="BS161" s="315"/>
      <c r="BT161" s="315"/>
      <c r="BU161" s="315"/>
      <c r="BV161" s="315"/>
      <c r="BW161" s="311"/>
      <c r="BX161" s="311"/>
      <c r="BY161" s="311"/>
      <c r="BZ161" s="311"/>
      <c r="CA161" s="311"/>
      <c r="CB161" s="311"/>
      <c r="CC161" s="311"/>
      <c r="CD161" s="311"/>
      <c r="CE161" s="311"/>
      <c r="CF161" s="311"/>
      <c r="CG161" s="311"/>
      <c r="CH161" s="310">
        <v>53154</v>
      </c>
      <c r="CI161" s="310">
        <v>27200</v>
      </c>
      <c r="CJ161" s="310"/>
      <c r="CK161" s="310"/>
      <c r="CL161" s="310"/>
      <c r="CM161" s="310"/>
      <c r="CN161" s="310"/>
      <c r="CO161" s="310"/>
      <c r="CP161" s="310"/>
      <c r="CQ161" s="311" t="s">
        <v>744</v>
      </c>
      <c r="CR161" s="311" t="s">
        <v>742</v>
      </c>
      <c r="CS161" s="311" t="s">
        <v>742</v>
      </c>
      <c r="CT161" s="311"/>
      <c r="CU161" s="311"/>
      <c r="CV161" s="311"/>
      <c r="CW161" s="311"/>
      <c r="CX161" s="311"/>
      <c r="CY161" s="311"/>
      <c r="CZ161" s="311"/>
      <c r="DA161" s="311"/>
      <c r="DB161" s="311"/>
      <c r="DC161" s="311"/>
      <c r="DD161" s="311"/>
      <c r="DE161" s="316"/>
      <c r="DF161" s="314"/>
      <c r="DG161" s="314"/>
      <c r="DH161" s="314"/>
      <c r="DI161" s="314"/>
      <c r="DJ161" s="314"/>
      <c r="DK161" s="314">
        <v>0</v>
      </c>
      <c r="DL161" s="314">
        <v>0</v>
      </c>
      <c r="DM161" s="314">
        <v>0</v>
      </c>
      <c r="DN161" s="314">
        <v>0</v>
      </c>
      <c r="DO161" s="314">
        <v>0</v>
      </c>
      <c r="DP161" s="314">
        <v>0</v>
      </c>
      <c r="DQ161" s="314">
        <v>0</v>
      </c>
      <c r="DR161" s="314">
        <v>15579</v>
      </c>
      <c r="DS161" s="314">
        <v>0</v>
      </c>
      <c r="DT161" s="314">
        <v>0</v>
      </c>
      <c r="DU161" s="314">
        <v>0</v>
      </c>
      <c r="DV161" s="314">
        <v>0</v>
      </c>
      <c r="DW161" s="314">
        <v>15579</v>
      </c>
      <c r="DX161" s="314">
        <v>0</v>
      </c>
      <c r="DY161" s="314">
        <v>15579</v>
      </c>
      <c r="DZ161" s="314">
        <v>0</v>
      </c>
      <c r="EA161" s="314">
        <v>15579</v>
      </c>
      <c r="EB161" s="314">
        <v>0</v>
      </c>
      <c r="EC161" s="317">
        <v>0</v>
      </c>
      <c r="ED161" s="317">
        <v>0</v>
      </c>
      <c r="EE161" s="317">
        <v>0</v>
      </c>
      <c r="EF161" s="317">
        <v>0</v>
      </c>
      <c r="EG161" s="317">
        <v>0</v>
      </c>
      <c r="EH161" s="317">
        <v>0</v>
      </c>
      <c r="EI161" s="317">
        <v>0</v>
      </c>
      <c r="EJ161" s="317">
        <v>1</v>
      </c>
      <c r="EK161" s="317">
        <v>0</v>
      </c>
      <c r="EL161" s="317">
        <v>0</v>
      </c>
      <c r="EM161" s="317">
        <v>0</v>
      </c>
      <c r="EN161" s="317">
        <v>0</v>
      </c>
      <c r="EO161" s="317">
        <v>1</v>
      </c>
      <c r="EP161" s="317">
        <v>0</v>
      </c>
      <c r="EQ161" s="317">
        <v>1</v>
      </c>
      <c r="ER161" s="317">
        <v>0</v>
      </c>
      <c r="ES161" s="317">
        <v>1</v>
      </c>
      <c r="ET161" s="317">
        <v>0</v>
      </c>
    </row>
    <row r="162" spans="1:150" x14ac:dyDescent="0.25">
      <c r="A162" s="310">
        <v>8487</v>
      </c>
      <c r="B162" s="310">
        <v>2023</v>
      </c>
      <c r="C162" s="310" t="s">
        <v>10</v>
      </c>
      <c r="D162" s="310" t="s">
        <v>1015</v>
      </c>
      <c r="E162" s="310">
        <v>60196</v>
      </c>
      <c r="F162" s="310" t="s">
        <v>759</v>
      </c>
      <c r="G162" s="310">
        <v>15473</v>
      </c>
      <c r="H162" s="310" t="s">
        <v>823</v>
      </c>
      <c r="I162" s="310">
        <v>59300</v>
      </c>
      <c r="J162" s="310" t="s">
        <v>729</v>
      </c>
      <c r="K162" s="310" t="s">
        <v>760</v>
      </c>
      <c r="L162" s="310" t="s">
        <v>761</v>
      </c>
      <c r="M162" s="310" t="s">
        <v>732</v>
      </c>
      <c r="N162" s="310" t="s">
        <v>733</v>
      </c>
      <c r="O162" s="310" t="s">
        <v>734</v>
      </c>
      <c r="P162" s="310"/>
      <c r="Q162" s="310" t="s">
        <v>735</v>
      </c>
      <c r="R162" s="310" t="s">
        <v>1016</v>
      </c>
      <c r="S162" s="310" t="s">
        <v>1017</v>
      </c>
      <c r="T162" s="310">
        <v>35.587795</v>
      </c>
      <c r="U162" s="310">
        <v>-106.06085899999999</v>
      </c>
      <c r="V162" s="310"/>
      <c r="W162" s="311">
        <v>1</v>
      </c>
      <c r="X162" s="311">
        <v>1</v>
      </c>
      <c r="Y162" s="310" t="s">
        <v>826</v>
      </c>
      <c r="Z162" s="310" t="s">
        <v>827</v>
      </c>
      <c r="AA162" s="310"/>
      <c r="AB162" s="312">
        <v>0.28760000000000002</v>
      </c>
      <c r="AC162" s="313">
        <v>9.5</v>
      </c>
      <c r="AD162" s="312"/>
      <c r="AE162" s="310"/>
      <c r="AF162" s="310"/>
      <c r="AG162" s="311"/>
      <c r="AH162" s="311"/>
      <c r="AI162" s="312"/>
      <c r="AJ162" s="310"/>
      <c r="AK162" s="314"/>
      <c r="AL162" s="314"/>
      <c r="AM162" s="314">
        <v>81663</v>
      </c>
      <c r="AN162" s="314">
        <v>40819</v>
      </c>
      <c r="AO162" s="314">
        <v>23934</v>
      </c>
      <c r="AP162" s="314">
        <v>11963</v>
      </c>
      <c r="AQ162" s="314"/>
      <c r="AR162" s="314"/>
      <c r="AS162" s="314"/>
      <c r="AT162" s="314"/>
      <c r="AU162" s="314"/>
      <c r="AV162" s="314"/>
      <c r="AW162" s="314"/>
      <c r="AX162" s="314"/>
      <c r="AY162" s="315"/>
      <c r="AZ162" s="315"/>
      <c r="BA162" s="315"/>
      <c r="BB162" s="315"/>
      <c r="BC162" s="315"/>
      <c r="BD162" s="315"/>
      <c r="BE162" s="315"/>
      <c r="BF162" s="315"/>
      <c r="BG162" s="315"/>
      <c r="BH162" s="315"/>
      <c r="BI162" s="315"/>
      <c r="BJ162" s="315"/>
      <c r="BK162" s="315"/>
      <c r="BL162" s="315"/>
      <c r="BM162" s="315"/>
      <c r="BN162" s="315"/>
      <c r="BO162" s="315"/>
      <c r="BP162" s="315"/>
      <c r="BQ162" s="315"/>
      <c r="BR162" s="315"/>
      <c r="BS162" s="315"/>
      <c r="BT162" s="315"/>
      <c r="BU162" s="315"/>
      <c r="BV162" s="315"/>
      <c r="BW162" s="311"/>
      <c r="BX162" s="311"/>
      <c r="BY162" s="311"/>
      <c r="BZ162" s="311"/>
      <c r="CA162" s="311"/>
      <c r="CB162" s="311"/>
      <c r="CC162" s="311"/>
      <c r="CD162" s="311"/>
      <c r="CE162" s="311"/>
      <c r="CF162" s="311"/>
      <c r="CG162" s="311"/>
      <c r="CH162" s="310">
        <v>81663</v>
      </c>
      <c r="CI162" s="310">
        <v>40819</v>
      </c>
      <c r="CJ162" s="310"/>
      <c r="CK162" s="310"/>
      <c r="CL162" s="310"/>
      <c r="CM162" s="310"/>
      <c r="CN162" s="310"/>
      <c r="CO162" s="310"/>
      <c r="CP162" s="310"/>
      <c r="CQ162" s="311" t="s">
        <v>744</v>
      </c>
      <c r="CR162" s="311" t="s">
        <v>742</v>
      </c>
      <c r="CS162" s="311" t="s">
        <v>742</v>
      </c>
      <c r="CT162" s="311"/>
      <c r="CU162" s="311"/>
      <c r="CV162" s="311"/>
      <c r="CW162" s="311"/>
      <c r="CX162" s="311"/>
      <c r="CY162" s="311"/>
      <c r="CZ162" s="311"/>
      <c r="DA162" s="311"/>
      <c r="DB162" s="311"/>
      <c r="DC162" s="311"/>
      <c r="DD162" s="311"/>
      <c r="DE162" s="316"/>
      <c r="DF162" s="314"/>
      <c r="DG162" s="314"/>
      <c r="DH162" s="314"/>
      <c r="DI162" s="314"/>
      <c r="DJ162" s="314"/>
      <c r="DK162" s="314">
        <v>0</v>
      </c>
      <c r="DL162" s="314">
        <v>0</v>
      </c>
      <c r="DM162" s="314">
        <v>0</v>
      </c>
      <c r="DN162" s="314">
        <v>0</v>
      </c>
      <c r="DO162" s="314">
        <v>0</v>
      </c>
      <c r="DP162" s="314">
        <v>0</v>
      </c>
      <c r="DQ162" s="314">
        <v>0</v>
      </c>
      <c r="DR162" s="314">
        <v>23934</v>
      </c>
      <c r="DS162" s="314">
        <v>0</v>
      </c>
      <c r="DT162" s="314">
        <v>0</v>
      </c>
      <c r="DU162" s="314">
        <v>0</v>
      </c>
      <c r="DV162" s="314">
        <v>0</v>
      </c>
      <c r="DW162" s="314">
        <v>23934</v>
      </c>
      <c r="DX162" s="314">
        <v>0</v>
      </c>
      <c r="DY162" s="314">
        <v>23934</v>
      </c>
      <c r="DZ162" s="314">
        <v>0</v>
      </c>
      <c r="EA162" s="314">
        <v>23934</v>
      </c>
      <c r="EB162" s="314">
        <v>0</v>
      </c>
      <c r="EC162" s="317">
        <v>0</v>
      </c>
      <c r="ED162" s="317">
        <v>0</v>
      </c>
      <c r="EE162" s="317">
        <v>0</v>
      </c>
      <c r="EF162" s="317">
        <v>0</v>
      </c>
      <c r="EG162" s="317">
        <v>0</v>
      </c>
      <c r="EH162" s="317">
        <v>0</v>
      </c>
      <c r="EI162" s="317">
        <v>0</v>
      </c>
      <c r="EJ162" s="317">
        <v>1</v>
      </c>
      <c r="EK162" s="317">
        <v>0</v>
      </c>
      <c r="EL162" s="317">
        <v>0</v>
      </c>
      <c r="EM162" s="317">
        <v>0</v>
      </c>
      <c r="EN162" s="317">
        <v>0</v>
      </c>
      <c r="EO162" s="317">
        <v>1</v>
      </c>
      <c r="EP162" s="317">
        <v>0</v>
      </c>
      <c r="EQ162" s="317">
        <v>1</v>
      </c>
      <c r="ER162" s="317">
        <v>0</v>
      </c>
      <c r="ES162" s="317">
        <v>1</v>
      </c>
      <c r="ET162" s="317">
        <v>0</v>
      </c>
    </row>
    <row r="163" spans="1:150" x14ac:dyDescent="0.25">
      <c r="A163" s="310">
        <v>8488</v>
      </c>
      <c r="B163" s="310">
        <v>2023</v>
      </c>
      <c r="C163" s="310" t="s">
        <v>10</v>
      </c>
      <c r="D163" s="310" t="s">
        <v>1018</v>
      </c>
      <c r="E163" s="310">
        <v>60197</v>
      </c>
      <c r="F163" s="310" t="s">
        <v>759</v>
      </c>
      <c r="G163" s="310">
        <v>15473</v>
      </c>
      <c r="H163" s="310" t="s">
        <v>823</v>
      </c>
      <c r="I163" s="310">
        <v>59300</v>
      </c>
      <c r="J163" s="310" t="s">
        <v>729</v>
      </c>
      <c r="K163" s="310" t="s">
        <v>760</v>
      </c>
      <c r="L163" s="310" t="s">
        <v>761</v>
      </c>
      <c r="M163" s="310" t="s">
        <v>732</v>
      </c>
      <c r="N163" s="310" t="s">
        <v>733</v>
      </c>
      <c r="O163" s="310" t="s">
        <v>734</v>
      </c>
      <c r="P163" s="310"/>
      <c r="Q163" s="310" t="s">
        <v>735</v>
      </c>
      <c r="R163" s="310" t="s">
        <v>772</v>
      </c>
      <c r="S163" s="310" t="s">
        <v>773</v>
      </c>
      <c r="T163" s="310">
        <v>35.029719</v>
      </c>
      <c r="U163" s="310">
        <v>-106.855498</v>
      </c>
      <c r="V163" s="310"/>
      <c r="W163" s="311">
        <v>1</v>
      </c>
      <c r="X163" s="311">
        <v>1</v>
      </c>
      <c r="Y163" s="310" t="s">
        <v>826</v>
      </c>
      <c r="Z163" s="310" t="s">
        <v>827</v>
      </c>
      <c r="AA163" s="310"/>
      <c r="AB163" s="312">
        <v>0.24929000000000001</v>
      </c>
      <c r="AC163" s="313">
        <v>10.5</v>
      </c>
      <c r="AD163" s="312"/>
      <c r="AE163" s="310"/>
      <c r="AF163" s="310"/>
      <c r="AG163" s="311"/>
      <c r="AH163" s="311"/>
      <c r="AI163" s="312"/>
      <c r="AJ163" s="310"/>
      <c r="AK163" s="314"/>
      <c r="AL163" s="314"/>
      <c r="AM163" s="314">
        <v>78237</v>
      </c>
      <c r="AN163" s="314">
        <v>44861</v>
      </c>
      <c r="AO163" s="314">
        <v>22930</v>
      </c>
      <c r="AP163" s="314">
        <v>13148</v>
      </c>
      <c r="AQ163" s="314"/>
      <c r="AR163" s="314"/>
      <c r="AS163" s="314"/>
      <c r="AT163" s="314"/>
      <c r="AU163" s="314"/>
      <c r="AV163" s="314"/>
      <c r="AW163" s="314"/>
      <c r="AX163" s="314"/>
      <c r="AY163" s="315"/>
      <c r="AZ163" s="315"/>
      <c r="BA163" s="315"/>
      <c r="BB163" s="315"/>
      <c r="BC163" s="315"/>
      <c r="BD163" s="315"/>
      <c r="BE163" s="315"/>
      <c r="BF163" s="315"/>
      <c r="BG163" s="315"/>
      <c r="BH163" s="315"/>
      <c r="BI163" s="315"/>
      <c r="BJ163" s="315"/>
      <c r="BK163" s="315"/>
      <c r="BL163" s="315"/>
      <c r="BM163" s="315"/>
      <c r="BN163" s="315"/>
      <c r="BO163" s="315"/>
      <c r="BP163" s="315"/>
      <c r="BQ163" s="315"/>
      <c r="BR163" s="315"/>
      <c r="BS163" s="315"/>
      <c r="BT163" s="315"/>
      <c r="BU163" s="315"/>
      <c r="BV163" s="315"/>
      <c r="BW163" s="311"/>
      <c r="BX163" s="311"/>
      <c r="BY163" s="311"/>
      <c r="BZ163" s="311"/>
      <c r="CA163" s="311"/>
      <c r="CB163" s="311"/>
      <c r="CC163" s="311"/>
      <c r="CD163" s="311"/>
      <c r="CE163" s="311"/>
      <c r="CF163" s="311"/>
      <c r="CG163" s="311"/>
      <c r="CH163" s="310">
        <v>78237</v>
      </c>
      <c r="CI163" s="310">
        <v>44861</v>
      </c>
      <c r="CJ163" s="310"/>
      <c r="CK163" s="310"/>
      <c r="CL163" s="310"/>
      <c r="CM163" s="310"/>
      <c r="CN163" s="310"/>
      <c r="CO163" s="310"/>
      <c r="CP163" s="310"/>
      <c r="CQ163" s="311" t="s">
        <v>744</v>
      </c>
      <c r="CR163" s="311" t="s">
        <v>742</v>
      </c>
      <c r="CS163" s="311" t="s">
        <v>742</v>
      </c>
      <c r="CT163" s="311"/>
      <c r="CU163" s="311"/>
      <c r="CV163" s="311"/>
      <c r="CW163" s="311"/>
      <c r="CX163" s="311"/>
      <c r="CY163" s="311"/>
      <c r="CZ163" s="311"/>
      <c r="DA163" s="311"/>
      <c r="DB163" s="311"/>
      <c r="DC163" s="311"/>
      <c r="DD163" s="311"/>
      <c r="DE163" s="316"/>
      <c r="DF163" s="314"/>
      <c r="DG163" s="314"/>
      <c r="DH163" s="314"/>
      <c r="DI163" s="314"/>
      <c r="DJ163" s="314"/>
      <c r="DK163" s="314">
        <v>0</v>
      </c>
      <c r="DL163" s="314">
        <v>0</v>
      </c>
      <c r="DM163" s="314">
        <v>0</v>
      </c>
      <c r="DN163" s="314">
        <v>0</v>
      </c>
      <c r="DO163" s="314">
        <v>0</v>
      </c>
      <c r="DP163" s="314">
        <v>0</v>
      </c>
      <c r="DQ163" s="314">
        <v>0</v>
      </c>
      <c r="DR163" s="314">
        <v>22930</v>
      </c>
      <c r="DS163" s="314">
        <v>0</v>
      </c>
      <c r="DT163" s="314">
        <v>0</v>
      </c>
      <c r="DU163" s="314">
        <v>0</v>
      </c>
      <c r="DV163" s="314">
        <v>0</v>
      </c>
      <c r="DW163" s="314">
        <v>22930</v>
      </c>
      <c r="DX163" s="314">
        <v>0</v>
      </c>
      <c r="DY163" s="314">
        <v>22930</v>
      </c>
      <c r="DZ163" s="314">
        <v>0</v>
      </c>
      <c r="EA163" s="314">
        <v>22930</v>
      </c>
      <c r="EB163" s="314">
        <v>0</v>
      </c>
      <c r="EC163" s="317">
        <v>0</v>
      </c>
      <c r="ED163" s="317">
        <v>0</v>
      </c>
      <c r="EE163" s="317">
        <v>0</v>
      </c>
      <c r="EF163" s="317">
        <v>0</v>
      </c>
      <c r="EG163" s="317">
        <v>0</v>
      </c>
      <c r="EH163" s="317">
        <v>0</v>
      </c>
      <c r="EI163" s="317">
        <v>0</v>
      </c>
      <c r="EJ163" s="317">
        <v>1</v>
      </c>
      <c r="EK163" s="317">
        <v>0</v>
      </c>
      <c r="EL163" s="317">
        <v>0</v>
      </c>
      <c r="EM163" s="317">
        <v>0</v>
      </c>
      <c r="EN163" s="317">
        <v>0</v>
      </c>
      <c r="EO163" s="317">
        <v>1</v>
      </c>
      <c r="EP163" s="317">
        <v>0</v>
      </c>
      <c r="EQ163" s="317">
        <v>1</v>
      </c>
      <c r="ER163" s="317">
        <v>0</v>
      </c>
      <c r="ES163" s="317">
        <v>1</v>
      </c>
      <c r="ET163" s="317">
        <v>0</v>
      </c>
    </row>
    <row r="164" spans="1:150" x14ac:dyDescent="0.25">
      <c r="A164" s="310">
        <v>8489</v>
      </c>
      <c r="B164" s="310">
        <v>2023</v>
      </c>
      <c r="C164" s="310" t="s">
        <v>10</v>
      </c>
      <c r="D164" s="310" t="s">
        <v>1019</v>
      </c>
      <c r="E164" s="310">
        <v>58540</v>
      </c>
      <c r="F164" s="310" t="s">
        <v>759</v>
      </c>
      <c r="G164" s="310">
        <v>15473</v>
      </c>
      <c r="H164" s="310" t="s">
        <v>1020</v>
      </c>
      <c r="I164" s="310">
        <v>58509</v>
      </c>
      <c r="J164" s="310" t="s">
        <v>748</v>
      </c>
      <c r="K164" s="310" t="s">
        <v>760</v>
      </c>
      <c r="L164" s="310" t="s">
        <v>761</v>
      </c>
      <c r="M164" s="310" t="s">
        <v>732</v>
      </c>
      <c r="N164" s="310" t="s">
        <v>733</v>
      </c>
      <c r="O164" s="310" t="s">
        <v>734</v>
      </c>
      <c r="P164" s="310"/>
      <c r="Q164" s="310" t="s">
        <v>735</v>
      </c>
      <c r="R164" s="310" t="s">
        <v>794</v>
      </c>
      <c r="S164" s="310" t="s">
        <v>795</v>
      </c>
      <c r="T164" s="310">
        <v>32.713889000000002</v>
      </c>
      <c r="U164" s="310">
        <v>-108.24805600000001</v>
      </c>
      <c r="V164" s="310"/>
      <c r="W164" s="311">
        <v>1</v>
      </c>
      <c r="X164" s="311">
        <v>1</v>
      </c>
      <c r="Y164" s="310" t="s">
        <v>826</v>
      </c>
      <c r="Z164" s="310" t="s">
        <v>827</v>
      </c>
      <c r="AA164" s="310"/>
      <c r="AB164" s="312">
        <v>0.2258</v>
      </c>
      <c r="AC164" s="313">
        <v>1</v>
      </c>
      <c r="AD164" s="312"/>
      <c r="AE164" s="310"/>
      <c r="AF164" s="310"/>
      <c r="AG164" s="311"/>
      <c r="AH164" s="311"/>
      <c r="AI164" s="312"/>
      <c r="AJ164" s="310"/>
      <c r="AK164" s="314"/>
      <c r="AL164" s="314"/>
      <c r="AM164" s="314">
        <v>6751</v>
      </c>
      <c r="AN164" s="314">
        <v>2942</v>
      </c>
      <c r="AO164" s="314">
        <v>1978</v>
      </c>
      <c r="AP164" s="314">
        <v>862</v>
      </c>
      <c r="AQ164" s="314"/>
      <c r="AR164" s="314"/>
      <c r="AS164" s="314"/>
      <c r="AT164" s="314"/>
      <c r="AU164" s="314"/>
      <c r="AV164" s="314"/>
      <c r="AW164" s="314"/>
      <c r="AX164" s="314"/>
      <c r="AY164" s="315"/>
      <c r="AZ164" s="315"/>
      <c r="BA164" s="315"/>
      <c r="BB164" s="315"/>
      <c r="BC164" s="315"/>
      <c r="BD164" s="315"/>
      <c r="BE164" s="315"/>
      <c r="BF164" s="315"/>
      <c r="BG164" s="315"/>
      <c r="BH164" s="315"/>
      <c r="BI164" s="315"/>
      <c r="BJ164" s="315"/>
      <c r="BK164" s="315"/>
      <c r="BL164" s="315"/>
      <c r="BM164" s="315"/>
      <c r="BN164" s="315"/>
      <c r="BO164" s="315"/>
      <c r="BP164" s="315"/>
      <c r="BQ164" s="315"/>
      <c r="BR164" s="315"/>
      <c r="BS164" s="315"/>
      <c r="BT164" s="315"/>
      <c r="BU164" s="315"/>
      <c r="BV164" s="315"/>
      <c r="BW164" s="311"/>
      <c r="BX164" s="311"/>
      <c r="BY164" s="311"/>
      <c r="BZ164" s="311"/>
      <c r="CA164" s="311"/>
      <c r="CB164" s="311"/>
      <c r="CC164" s="311"/>
      <c r="CD164" s="311"/>
      <c r="CE164" s="311"/>
      <c r="CF164" s="311"/>
      <c r="CG164" s="311"/>
      <c r="CH164" s="310">
        <v>6751</v>
      </c>
      <c r="CI164" s="310">
        <v>2942</v>
      </c>
      <c r="CJ164" s="310"/>
      <c r="CK164" s="310"/>
      <c r="CL164" s="310"/>
      <c r="CM164" s="310"/>
      <c r="CN164" s="310"/>
      <c r="CO164" s="310"/>
      <c r="CP164" s="310"/>
      <c r="CQ164" s="311" t="s">
        <v>744</v>
      </c>
      <c r="CR164" s="311" t="s">
        <v>742</v>
      </c>
      <c r="CS164" s="311" t="s">
        <v>742</v>
      </c>
      <c r="CT164" s="311"/>
      <c r="CU164" s="311"/>
      <c r="CV164" s="311"/>
      <c r="CW164" s="311"/>
      <c r="CX164" s="311"/>
      <c r="CY164" s="311"/>
      <c r="CZ164" s="311"/>
      <c r="DA164" s="311"/>
      <c r="DB164" s="311"/>
      <c r="DC164" s="311"/>
      <c r="DD164" s="311"/>
      <c r="DE164" s="316"/>
      <c r="DF164" s="314"/>
      <c r="DG164" s="314"/>
      <c r="DH164" s="314"/>
      <c r="DI164" s="314"/>
      <c r="DJ164" s="314"/>
      <c r="DK164" s="314">
        <v>0</v>
      </c>
      <c r="DL164" s="314">
        <v>0</v>
      </c>
      <c r="DM164" s="314">
        <v>0</v>
      </c>
      <c r="DN164" s="314">
        <v>0</v>
      </c>
      <c r="DO164" s="314">
        <v>0</v>
      </c>
      <c r="DP164" s="314">
        <v>0</v>
      </c>
      <c r="DQ164" s="314">
        <v>0</v>
      </c>
      <c r="DR164" s="314">
        <v>1978</v>
      </c>
      <c r="DS164" s="314">
        <v>0</v>
      </c>
      <c r="DT164" s="314">
        <v>0</v>
      </c>
      <c r="DU164" s="314">
        <v>0</v>
      </c>
      <c r="DV164" s="314">
        <v>0</v>
      </c>
      <c r="DW164" s="314">
        <v>1978</v>
      </c>
      <c r="DX164" s="314">
        <v>0</v>
      </c>
      <c r="DY164" s="314">
        <v>1978</v>
      </c>
      <c r="DZ164" s="314">
        <v>0</v>
      </c>
      <c r="EA164" s="314">
        <v>1978</v>
      </c>
      <c r="EB164" s="314">
        <v>0</v>
      </c>
      <c r="EC164" s="317">
        <v>0</v>
      </c>
      <c r="ED164" s="317">
        <v>0</v>
      </c>
      <c r="EE164" s="317">
        <v>0</v>
      </c>
      <c r="EF164" s="317">
        <v>0</v>
      </c>
      <c r="EG164" s="317">
        <v>0</v>
      </c>
      <c r="EH164" s="317">
        <v>0</v>
      </c>
      <c r="EI164" s="317">
        <v>0</v>
      </c>
      <c r="EJ164" s="317">
        <v>1</v>
      </c>
      <c r="EK164" s="317">
        <v>0</v>
      </c>
      <c r="EL164" s="317">
        <v>0</v>
      </c>
      <c r="EM164" s="317">
        <v>0</v>
      </c>
      <c r="EN164" s="317">
        <v>0</v>
      </c>
      <c r="EO164" s="317">
        <v>1</v>
      </c>
      <c r="EP164" s="317">
        <v>0</v>
      </c>
      <c r="EQ164" s="317">
        <v>1</v>
      </c>
      <c r="ER164" s="317">
        <v>0</v>
      </c>
      <c r="ES164" s="317">
        <v>1</v>
      </c>
      <c r="ET164" s="317">
        <v>0</v>
      </c>
    </row>
    <row r="165" spans="1:150" x14ac:dyDescent="0.25">
      <c r="A165" s="310">
        <v>8490</v>
      </c>
      <c r="B165" s="310">
        <v>2023</v>
      </c>
      <c r="C165" s="310" t="s">
        <v>10</v>
      </c>
      <c r="D165" s="310" t="s">
        <v>1021</v>
      </c>
      <c r="E165" s="310">
        <v>64524</v>
      </c>
      <c r="F165" s="310" t="s">
        <v>746</v>
      </c>
      <c r="G165" s="310">
        <v>17718</v>
      </c>
      <c r="H165" s="310" t="s">
        <v>1022</v>
      </c>
      <c r="I165" s="310">
        <v>64160</v>
      </c>
      <c r="J165" s="310" t="s">
        <v>748</v>
      </c>
      <c r="K165" s="310" t="s">
        <v>749</v>
      </c>
      <c r="L165" s="310" t="s">
        <v>750</v>
      </c>
      <c r="M165" s="310" t="s">
        <v>732</v>
      </c>
      <c r="N165" s="310" t="s">
        <v>752</v>
      </c>
      <c r="O165" s="310" t="s">
        <v>753</v>
      </c>
      <c r="P165" s="310"/>
      <c r="Q165" s="310" t="s">
        <v>735</v>
      </c>
      <c r="R165" s="310" t="s">
        <v>880</v>
      </c>
      <c r="S165" s="310" t="s">
        <v>881</v>
      </c>
      <c r="T165" s="310">
        <v>34.423034999999999</v>
      </c>
      <c r="U165" s="310">
        <v>-103.25407800000001</v>
      </c>
      <c r="V165" s="310"/>
      <c r="W165" s="311">
        <v>1</v>
      </c>
      <c r="X165" s="311">
        <v>1</v>
      </c>
      <c r="Y165" s="310" t="s">
        <v>826</v>
      </c>
      <c r="Z165" s="310" t="s">
        <v>827</v>
      </c>
      <c r="AA165" s="310"/>
      <c r="AB165" s="312">
        <v>0.29571999999999998</v>
      </c>
      <c r="AC165" s="313">
        <v>2</v>
      </c>
      <c r="AD165" s="312"/>
      <c r="AE165" s="310"/>
      <c r="AF165" s="310"/>
      <c r="AG165" s="311"/>
      <c r="AH165" s="311"/>
      <c r="AI165" s="312"/>
      <c r="AJ165" s="310"/>
      <c r="AK165" s="314"/>
      <c r="AL165" s="314"/>
      <c r="AM165" s="314">
        <v>17678</v>
      </c>
      <c r="AN165" s="314">
        <v>8813</v>
      </c>
      <c r="AO165" s="314">
        <v>5181</v>
      </c>
      <c r="AP165" s="314">
        <v>2583</v>
      </c>
      <c r="AQ165" s="314"/>
      <c r="AR165" s="314"/>
      <c r="AS165" s="314"/>
      <c r="AT165" s="314"/>
      <c r="AU165" s="314"/>
      <c r="AV165" s="314"/>
      <c r="AW165" s="314"/>
      <c r="AX165" s="314"/>
      <c r="AY165" s="315"/>
      <c r="AZ165" s="315"/>
      <c r="BA165" s="315"/>
      <c r="BB165" s="315"/>
      <c r="BC165" s="315"/>
      <c r="BD165" s="315"/>
      <c r="BE165" s="315"/>
      <c r="BF165" s="315"/>
      <c r="BG165" s="315"/>
      <c r="BH165" s="315"/>
      <c r="BI165" s="315"/>
      <c r="BJ165" s="315"/>
      <c r="BK165" s="315"/>
      <c r="BL165" s="315"/>
      <c r="BM165" s="315"/>
      <c r="BN165" s="315"/>
      <c r="BO165" s="315"/>
      <c r="BP165" s="315"/>
      <c r="BQ165" s="315"/>
      <c r="BR165" s="315"/>
      <c r="BS165" s="315"/>
      <c r="BT165" s="315"/>
      <c r="BU165" s="315"/>
      <c r="BV165" s="315"/>
      <c r="BW165" s="311"/>
      <c r="BX165" s="311"/>
      <c r="BY165" s="311"/>
      <c r="BZ165" s="311"/>
      <c r="CA165" s="311"/>
      <c r="CB165" s="311"/>
      <c r="CC165" s="311"/>
      <c r="CD165" s="311"/>
      <c r="CE165" s="311"/>
      <c r="CF165" s="311"/>
      <c r="CG165" s="311"/>
      <c r="CH165" s="310">
        <v>17678</v>
      </c>
      <c r="CI165" s="310">
        <v>8813</v>
      </c>
      <c r="CJ165" s="310"/>
      <c r="CK165" s="310"/>
      <c r="CL165" s="310"/>
      <c r="CM165" s="310"/>
      <c r="CN165" s="310"/>
      <c r="CO165" s="310"/>
      <c r="CP165" s="310"/>
      <c r="CQ165" s="311" t="s">
        <v>744</v>
      </c>
      <c r="CR165" s="311" t="s">
        <v>742</v>
      </c>
      <c r="CS165" s="311" t="s">
        <v>742</v>
      </c>
      <c r="CT165" s="311"/>
      <c r="CU165" s="311"/>
      <c r="CV165" s="311"/>
      <c r="CW165" s="311"/>
      <c r="CX165" s="311"/>
      <c r="CY165" s="311"/>
      <c r="CZ165" s="311"/>
      <c r="DA165" s="311"/>
      <c r="DB165" s="311"/>
      <c r="DC165" s="311"/>
      <c r="DD165" s="311"/>
      <c r="DE165" s="316"/>
      <c r="DF165" s="314"/>
      <c r="DG165" s="314"/>
      <c r="DH165" s="314"/>
      <c r="DI165" s="314"/>
      <c r="DJ165" s="314"/>
      <c r="DK165" s="314">
        <v>0</v>
      </c>
      <c r="DL165" s="314">
        <v>0</v>
      </c>
      <c r="DM165" s="314">
        <v>0</v>
      </c>
      <c r="DN165" s="314">
        <v>0</v>
      </c>
      <c r="DO165" s="314">
        <v>0</v>
      </c>
      <c r="DP165" s="314">
        <v>0</v>
      </c>
      <c r="DQ165" s="314">
        <v>0</v>
      </c>
      <c r="DR165" s="314">
        <v>5181</v>
      </c>
      <c r="DS165" s="314">
        <v>0</v>
      </c>
      <c r="DT165" s="314">
        <v>0</v>
      </c>
      <c r="DU165" s="314">
        <v>0</v>
      </c>
      <c r="DV165" s="314">
        <v>0</v>
      </c>
      <c r="DW165" s="314">
        <v>5181</v>
      </c>
      <c r="DX165" s="314">
        <v>0</v>
      </c>
      <c r="DY165" s="314">
        <v>5181</v>
      </c>
      <c r="DZ165" s="314">
        <v>0</v>
      </c>
      <c r="EA165" s="314">
        <v>5181</v>
      </c>
      <c r="EB165" s="314">
        <v>0</v>
      </c>
      <c r="EC165" s="317">
        <v>0</v>
      </c>
      <c r="ED165" s="317">
        <v>0</v>
      </c>
      <c r="EE165" s="317">
        <v>0</v>
      </c>
      <c r="EF165" s="317">
        <v>0</v>
      </c>
      <c r="EG165" s="317">
        <v>0</v>
      </c>
      <c r="EH165" s="317">
        <v>0</v>
      </c>
      <c r="EI165" s="317">
        <v>0</v>
      </c>
      <c r="EJ165" s="317">
        <v>1</v>
      </c>
      <c r="EK165" s="317">
        <v>0</v>
      </c>
      <c r="EL165" s="317">
        <v>0</v>
      </c>
      <c r="EM165" s="317">
        <v>0</v>
      </c>
      <c r="EN165" s="317">
        <v>0</v>
      </c>
      <c r="EO165" s="317">
        <v>1</v>
      </c>
      <c r="EP165" s="317">
        <v>0</v>
      </c>
      <c r="EQ165" s="317">
        <v>1</v>
      </c>
      <c r="ER165" s="317">
        <v>0</v>
      </c>
      <c r="ES165" s="317">
        <v>1</v>
      </c>
      <c r="ET165" s="317">
        <v>0</v>
      </c>
    </row>
    <row r="166" spans="1:150" x14ac:dyDescent="0.25">
      <c r="A166" s="310">
        <v>8491</v>
      </c>
      <c r="B166" s="310">
        <v>2023</v>
      </c>
      <c r="C166" s="310" t="s">
        <v>10</v>
      </c>
      <c r="D166" s="310" t="s">
        <v>1023</v>
      </c>
      <c r="E166" s="310">
        <v>60195</v>
      </c>
      <c r="F166" s="310" t="s">
        <v>759</v>
      </c>
      <c r="G166" s="310">
        <v>15473</v>
      </c>
      <c r="H166" s="310" t="s">
        <v>823</v>
      </c>
      <c r="I166" s="310">
        <v>59300</v>
      </c>
      <c r="J166" s="310" t="s">
        <v>729</v>
      </c>
      <c r="K166" s="310" t="s">
        <v>760</v>
      </c>
      <c r="L166" s="310" t="s">
        <v>761</v>
      </c>
      <c r="M166" s="310" t="s">
        <v>732</v>
      </c>
      <c r="N166" s="310" t="s">
        <v>733</v>
      </c>
      <c r="O166" s="310" t="s">
        <v>734</v>
      </c>
      <c r="P166" s="310"/>
      <c r="Q166" s="310" t="s">
        <v>735</v>
      </c>
      <c r="R166" s="310" t="s">
        <v>772</v>
      </c>
      <c r="S166" s="310" t="s">
        <v>773</v>
      </c>
      <c r="T166" s="310">
        <v>34.986072999999998</v>
      </c>
      <c r="U166" s="310">
        <v>-106.73612900000001</v>
      </c>
      <c r="V166" s="310"/>
      <c r="W166" s="311">
        <v>1</v>
      </c>
      <c r="X166" s="311">
        <v>1</v>
      </c>
      <c r="Y166" s="310" t="s">
        <v>826</v>
      </c>
      <c r="Z166" s="310" t="s">
        <v>827</v>
      </c>
      <c r="AA166" s="310"/>
      <c r="AB166" s="312">
        <v>0.28523999999999999</v>
      </c>
      <c r="AC166" s="313">
        <v>10</v>
      </c>
      <c r="AD166" s="312"/>
      <c r="AE166" s="310"/>
      <c r="AF166" s="310"/>
      <c r="AG166" s="311"/>
      <c r="AH166" s="311"/>
      <c r="AI166" s="312"/>
      <c r="AJ166" s="310"/>
      <c r="AK166" s="314"/>
      <c r="AL166" s="314"/>
      <c r="AM166" s="314">
        <v>85255</v>
      </c>
      <c r="AN166" s="314">
        <v>45256</v>
      </c>
      <c r="AO166" s="314">
        <v>24987</v>
      </c>
      <c r="AP166" s="314">
        <v>13264</v>
      </c>
      <c r="AQ166" s="314"/>
      <c r="AR166" s="314"/>
      <c r="AS166" s="314"/>
      <c r="AT166" s="314"/>
      <c r="AU166" s="314"/>
      <c r="AV166" s="314"/>
      <c r="AW166" s="314"/>
      <c r="AX166" s="314"/>
      <c r="AY166" s="315"/>
      <c r="AZ166" s="315"/>
      <c r="BA166" s="315"/>
      <c r="BB166" s="315"/>
      <c r="BC166" s="315"/>
      <c r="BD166" s="315"/>
      <c r="BE166" s="315"/>
      <c r="BF166" s="315"/>
      <c r="BG166" s="315"/>
      <c r="BH166" s="315"/>
      <c r="BI166" s="315"/>
      <c r="BJ166" s="315"/>
      <c r="BK166" s="315"/>
      <c r="BL166" s="315"/>
      <c r="BM166" s="315"/>
      <c r="BN166" s="315"/>
      <c r="BO166" s="315"/>
      <c r="BP166" s="315"/>
      <c r="BQ166" s="315"/>
      <c r="BR166" s="315"/>
      <c r="BS166" s="315"/>
      <c r="BT166" s="315"/>
      <c r="BU166" s="315"/>
      <c r="BV166" s="315"/>
      <c r="BW166" s="311"/>
      <c r="BX166" s="311"/>
      <c r="BY166" s="311"/>
      <c r="BZ166" s="311"/>
      <c r="CA166" s="311"/>
      <c r="CB166" s="311"/>
      <c r="CC166" s="311"/>
      <c r="CD166" s="311"/>
      <c r="CE166" s="311"/>
      <c r="CF166" s="311"/>
      <c r="CG166" s="311"/>
      <c r="CH166" s="310">
        <v>85255</v>
      </c>
      <c r="CI166" s="310">
        <v>45256</v>
      </c>
      <c r="CJ166" s="310"/>
      <c r="CK166" s="310"/>
      <c r="CL166" s="310"/>
      <c r="CM166" s="310"/>
      <c r="CN166" s="310"/>
      <c r="CO166" s="310"/>
      <c r="CP166" s="310"/>
      <c r="CQ166" s="311" t="s">
        <v>744</v>
      </c>
      <c r="CR166" s="311" t="s">
        <v>742</v>
      </c>
      <c r="CS166" s="311" t="s">
        <v>742</v>
      </c>
      <c r="CT166" s="311"/>
      <c r="CU166" s="311"/>
      <c r="CV166" s="311"/>
      <c r="CW166" s="311"/>
      <c r="CX166" s="311"/>
      <c r="CY166" s="311"/>
      <c r="CZ166" s="311"/>
      <c r="DA166" s="311"/>
      <c r="DB166" s="311"/>
      <c r="DC166" s="311"/>
      <c r="DD166" s="311"/>
      <c r="DE166" s="316"/>
      <c r="DF166" s="314"/>
      <c r="DG166" s="314"/>
      <c r="DH166" s="314"/>
      <c r="DI166" s="314"/>
      <c r="DJ166" s="314"/>
      <c r="DK166" s="314">
        <v>0</v>
      </c>
      <c r="DL166" s="314">
        <v>0</v>
      </c>
      <c r="DM166" s="314">
        <v>0</v>
      </c>
      <c r="DN166" s="314">
        <v>0</v>
      </c>
      <c r="DO166" s="314">
        <v>0</v>
      </c>
      <c r="DP166" s="314">
        <v>0</v>
      </c>
      <c r="DQ166" s="314">
        <v>0</v>
      </c>
      <c r="DR166" s="314">
        <v>24987</v>
      </c>
      <c r="DS166" s="314">
        <v>0</v>
      </c>
      <c r="DT166" s="314">
        <v>0</v>
      </c>
      <c r="DU166" s="314">
        <v>0</v>
      </c>
      <c r="DV166" s="314">
        <v>0</v>
      </c>
      <c r="DW166" s="314">
        <v>24987</v>
      </c>
      <c r="DX166" s="314">
        <v>0</v>
      </c>
      <c r="DY166" s="314">
        <v>24987</v>
      </c>
      <c r="DZ166" s="314">
        <v>0</v>
      </c>
      <c r="EA166" s="314">
        <v>24987</v>
      </c>
      <c r="EB166" s="314">
        <v>0</v>
      </c>
      <c r="EC166" s="317">
        <v>0</v>
      </c>
      <c r="ED166" s="317">
        <v>0</v>
      </c>
      <c r="EE166" s="317">
        <v>0</v>
      </c>
      <c r="EF166" s="317">
        <v>0</v>
      </c>
      <c r="EG166" s="317">
        <v>0</v>
      </c>
      <c r="EH166" s="317">
        <v>0</v>
      </c>
      <c r="EI166" s="317">
        <v>0</v>
      </c>
      <c r="EJ166" s="317">
        <v>1</v>
      </c>
      <c r="EK166" s="317">
        <v>0</v>
      </c>
      <c r="EL166" s="317">
        <v>0</v>
      </c>
      <c r="EM166" s="317">
        <v>0</v>
      </c>
      <c r="EN166" s="317">
        <v>0</v>
      </c>
      <c r="EO166" s="317">
        <v>1</v>
      </c>
      <c r="EP166" s="317">
        <v>0</v>
      </c>
      <c r="EQ166" s="317">
        <v>1</v>
      </c>
      <c r="ER166" s="317">
        <v>0</v>
      </c>
      <c r="ES166" s="317">
        <v>1</v>
      </c>
      <c r="ET166" s="317">
        <v>0</v>
      </c>
    </row>
    <row r="167" spans="1:150" x14ac:dyDescent="0.25">
      <c r="A167" s="310">
        <v>8493</v>
      </c>
      <c r="B167" s="310">
        <v>2023</v>
      </c>
      <c r="C167" s="310" t="s">
        <v>10</v>
      </c>
      <c r="D167" s="310" t="s">
        <v>1024</v>
      </c>
      <c r="E167" s="310">
        <v>59560</v>
      </c>
      <c r="F167" s="310" t="s">
        <v>905</v>
      </c>
      <c r="G167" s="310">
        <v>17826</v>
      </c>
      <c r="H167" s="310" t="s">
        <v>905</v>
      </c>
      <c r="I167" s="310">
        <v>17826</v>
      </c>
      <c r="J167" s="310" t="s">
        <v>729</v>
      </c>
      <c r="K167" s="310" t="s">
        <v>760</v>
      </c>
      <c r="L167" s="310" t="s">
        <v>761</v>
      </c>
      <c r="M167" s="310" t="s">
        <v>732</v>
      </c>
      <c r="N167" s="310" t="s">
        <v>733</v>
      </c>
      <c r="O167" s="310" t="s">
        <v>734</v>
      </c>
      <c r="P167" s="310"/>
      <c r="Q167" s="310" t="s">
        <v>735</v>
      </c>
      <c r="R167" s="310" t="s">
        <v>846</v>
      </c>
      <c r="S167" s="310" t="s">
        <v>847</v>
      </c>
      <c r="T167" s="310">
        <v>36.398055999999997</v>
      </c>
      <c r="U167" s="310">
        <v>-104.594167</v>
      </c>
      <c r="V167" s="310"/>
      <c r="W167" s="311">
        <v>1</v>
      </c>
      <c r="X167" s="311">
        <v>1</v>
      </c>
      <c r="Y167" s="310" t="s">
        <v>826</v>
      </c>
      <c r="Z167" s="310" t="s">
        <v>827</v>
      </c>
      <c r="AA167" s="310"/>
      <c r="AB167" s="312">
        <v>0.25159999999999999</v>
      </c>
      <c r="AC167" s="313">
        <v>1</v>
      </c>
      <c r="AD167" s="312"/>
      <c r="AE167" s="310"/>
      <c r="AF167" s="310"/>
      <c r="AG167" s="311"/>
      <c r="AH167" s="311"/>
      <c r="AI167" s="312"/>
      <c r="AJ167" s="310"/>
      <c r="AK167" s="314"/>
      <c r="AL167" s="314"/>
      <c r="AM167" s="314">
        <v>7520</v>
      </c>
      <c r="AN167" s="314">
        <v>3582</v>
      </c>
      <c r="AO167" s="314">
        <v>2204</v>
      </c>
      <c r="AP167" s="314">
        <v>1050</v>
      </c>
      <c r="AQ167" s="314"/>
      <c r="AR167" s="314"/>
      <c r="AS167" s="314"/>
      <c r="AT167" s="314"/>
      <c r="AU167" s="314"/>
      <c r="AV167" s="314"/>
      <c r="AW167" s="314"/>
      <c r="AX167" s="314"/>
      <c r="AY167" s="315"/>
      <c r="AZ167" s="315"/>
      <c r="BA167" s="315"/>
      <c r="BB167" s="315"/>
      <c r="BC167" s="315"/>
      <c r="BD167" s="315"/>
      <c r="BE167" s="315"/>
      <c r="BF167" s="315"/>
      <c r="BG167" s="315"/>
      <c r="BH167" s="315"/>
      <c r="BI167" s="315"/>
      <c r="BJ167" s="315"/>
      <c r="BK167" s="315"/>
      <c r="BL167" s="315"/>
      <c r="BM167" s="315"/>
      <c r="BN167" s="315"/>
      <c r="BO167" s="315"/>
      <c r="BP167" s="315"/>
      <c r="BQ167" s="315"/>
      <c r="BR167" s="315"/>
      <c r="BS167" s="315"/>
      <c r="BT167" s="315"/>
      <c r="BU167" s="315"/>
      <c r="BV167" s="315"/>
      <c r="BW167" s="311"/>
      <c r="BX167" s="311"/>
      <c r="BY167" s="311"/>
      <c r="BZ167" s="311"/>
      <c r="CA167" s="311"/>
      <c r="CB167" s="311"/>
      <c r="CC167" s="311"/>
      <c r="CD167" s="311"/>
      <c r="CE167" s="311"/>
      <c r="CF167" s="311"/>
      <c r="CG167" s="311"/>
      <c r="CH167" s="310">
        <v>7520</v>
      </c>
      <c r="CI167" s="310">
        <v>3582</v>
      </c>
      <c r="CJ167" s="310"/>
      <c r="CK167" s="310"/>
      <c r="CL167" s="310"/>
      <c r="CM167" s="310"/>
      <c r="CN167" s="310"/>
      <c r="CO167" s="310"/>
      <c r="CP167" s="310"/>
      <c r="CQ167" s="311" t="s">
        <v>744</v>
      </c>
      <c r="CR167" s="311" t="s">
        <v>742</v>
      </c>
      <c r="CS167" s="311" t="s">
        <v>742</v>
      </c>
      <c r="CT167" s="311"/>
      <c r="CU167" s="311"/>
      <c r="CV167" s="311"/>
      <c r="CW167" s="311"/>
      <c r="CX167" s="311"/>
      <c r="CY167" s="311"/>
      <c r="CZ167" s="311"/>
      <c r="DA167" s="311"/>
      <c r="DB167" s="311"/>
      <c r="DC167" s="311"/>
      <c r="DD167" s="311"/>
      <c r="DE167" s="316"/>
      <c r="DF167" s="314"/>
      <c r="DG167" s="314"/>
      <c r="DH167" s="314"/>
      <c r="DI167" s="314"/>
      <c r="DJ167" s="314"/>
      <c r="DK167" s="314">
        <v>0</v>
      </c>
      <c r="DL167" s="314">
        <v>0</v>
      </c>
      <c r="DM167" s="314">
        <v>0</v>
      </c>
      <c r="DN167" s="314">
        <v>0</v>
      </c>
      <c r="DO167" s="314">
        <v>0</v>
      </c>
      <c r="DP167" s="314">
        <v>0</v>
      </c>
      <c r="DQ167" s="314">
        <v>0</v>
      </c>
      <c r="DR167" s="314">
        <v>2204</v>
      </c>
      <c r="DS167" s="314">
        <v>0</v>
      </c>
      <c r="DT167" s="314">
        <v>0</v>
      </c>
      <c r="DU167" s="314">
        <v>0</v>
      </c>
      <c r="DV167" s="314">
        <v>0</v>
      </c>
      <c r="DW167" s="314">
        <v>2204</v>
      </c>
      <c r="DX167" s="314">
        <v>0</v>
      </c>
      <c r="DY167" s="314">
        <v>2204</v>
      </c>
      <c r="DZ167" s="314">
        <v>0</v>
      </c>
      <c r="EA167" s="314">
        <v>2204</v>
      </c>
      <c r="EB167" s="314">
        <v>0</v>
      </c>
      <c r="EC167" s="317">
        <v>0</v>
      </c>
      <c r="ED167" s="317">
        <v>0</v>
      </c>
      <c r="EE167" s="317">
        <v>0</v>
      </c>
      <c r="EF167" s="317">
        <v>0</v>
      </c>
      <c r="EG167" s="317">
        <v>0</v>
      </c>
      <c r="EH167" s="317">
        <v>0</v>
      </c>
      <c r="EI167" s="317">
        <v>0</v>
      </c>
      <c r="EJ167" s="317">
        <v>1</v>
      </c>
      <c r="EK167" s="317">
        <v>0</v>
      </c>
      <c r="EL167" s="317">
        <v>0</v>
      </c>
      <c r="EM167" s="317">
        <v>0</v>
      </c>
      <c r="EN167" s="317">
        <v>0</v>
      </c>
      <c r="EO167" s="317">
        <v>1</v>
      </c>
      <c r="EP167" s="317">
        <v>0</v>
      </c>
      <c r="EQ167" s="317">
        <v>1</v>
      </c>
      <c r="ER167" s="317">
        <v>0</v>
      </c>
      <c r="ES167" s="317">
        <v>1</v>
      </c>
      <c r="ET167" s="317">
        <v>0</v>
      </c>
    </row>
    <row r="168" spans="1:150" x14ac:dyDescent="0.25">
      <c r="A168" s="310">
        <v>8494</v>
      </c>
      <c r="B168" s="310">
        <v>2023</v>
      </c>
      <c r="C168" s="310" t="s">
        <v>10</v>
      </c>
      <c r="D168" s="310" t="s">
        <v>1025</v>
      </c>
      <c r="E168" s="310">
        <v>60991</v>
      </c>
      <c r="F168" s="310" t="s">
        <v>798</v>
      </c>
      <c r="G168" s="310">
        <v>10817</v>
      </c>
      <c r="H168" s="310" t="s">
        <v>1026</v>
      </c>
      <c r="I168" s="310">
        <v>60634</v>
      </c>
      <c r="J168" s="310" t="s">
        <v>748</v>
      </c>
      <c r="K168" s="310" t="s">
        <v>749</v>
      </c>
      <c r="L168" s="310" t="s">
        <v>750</v>
      </c>
      <c r="M168" s="310" t="s">
        <v>751</v>
      </c>
      <c r="N168" s="310" t="s">
        <v>752</v>
      </c>
      <c r="O168" s="310" t="s">
        <v>753</v>
      </c>
      <c r="P168" s="310"/>
      <c r="Q168" s="310" t="s">
        <v>735</v>
      </c>
      <c r="R168" s="310" t="s">
        <v>754</v>
      </c>
      <c r="S168" s="310" t="s">
        <v>755</v>
      </c>
      <c r="T168" s="310">
        <v>33.3596</v>
      </c>
      <c r="U168" s="310">
        <v>-103.25058</v>
      </c>
      <c r="V168" s="310"/>
      <c r="W168" s="311">
        <v>1</v>
      </c>
      <c r="X168" s="311">
        <v>1</v>
      </c>
      <c r="Y168" s="310" t="s">
        <v>840</v>
      </c>
      <c r="Z168" s="310" t="s">
        <v>841</v>
      </c>
      <c r="AA168" s="310"/>
      <c r="AB168" s="312">
        <v>0.46990999999999999</v>
      </c>
      <c r="AC168" s="313">
        <v>29.9</v>
      </c>
      <c r="AD168" s="312"/>
      <c r="AE168" s="310"/>
      <c r="AF168" s="310"/>
      <c r="AG168" s="311"/>
      <c r="AH168" s="311"/>
      <c r="AI168" s="312"/>
      <c r="AJ168" s="310"/>
      <c r="AK168" s="314"/>
      <c r="AL168" s="314"/>
      <c r="AM168" s="314">
        <v>419953</v>
      </c>
      <c r="AN168" s="314">
        <v>155276</v>
      </c>
      <c r="AO168" s="314">
        <v>123081</v>
      </c>
      <c r="AP168" s="314">
        <v>45509</v>
      </c>
      <c r="AQ168" s="314"/>
      <c r="AR168" s="314"/>
      <c r="AS168" s="314"/>
      <c r="AT168" s="314"/>
      <c r="AU168" s="314"/>
      <c r="AV168" s="314"/>
      <c r="AW168" s="314"/>
      <c r="AX168" s="314"/>
      <c r="AY168" s="315"/>
      <c r="AZ168" s="315"/>
      <c r="BA168" s="315"/>
      <c r="BB168" s="315"/>
      <c r="BC168" s="315"/>
      <c r="BD168" s="315"/>
      <c r="BE168" s="315"/>
      <c r="BF168" s="315"/>
      <c r="BG168" s="315"/>
      <c r="BH168" s="315"/>
      <c r="BI168" s="315"/>
      <c r="BJ168" s="315"/>
      <c r="BK168" s="315"/>
      <c r="BL168" s="315"/>
      <c r="BM168" s="315"/>
      <c r="BN168" s="315"/>
      <c r="BO168" s="315"/>
      <c r="BP168" s="315"/>
      <c r="BQ168" s="315"/>
      <c r="BR168" s="315"/>
      <c r="BS168" s="315"/>
      <c r="BT168" s="315"/>
      <c r="BU168" s="315"/>
      <c r="BV168" s="315"/>
      <c r="BW168" s="311"/>
      <c r="BX168" s="311"/>
      <c r="BY168" s="311"/>
      <c r="BZ168" s="311"/>
      <c r="CA168" s="311"/>
      <c r="CB168" s="311"/>
      <c r="CC168" s="311"/>
      <c r="CD168" s="311"/>
      <c r="CE168" s="311"/>
      <c r="CF168" s="311"/>
      <c r="CG168" s="311"/>
      <c r="CH168" s="310">
        <v>419953</v>
      </c>
      <c r="CI168" s="310">
        <v>155276</v>
      </c>
      <c r="CJ168" s="310"/>
      <c r="CK168" s="310"/>
      <c r="CL168" s="310"/>
      <c r="CM168" s="310"/>
      <c r="CN168" s="310"/>
      <c r="CO168" s="310"/>
      <c r="CP168" s="310"/>
      <c r="CQ168" s="311" t="s">
        <v>744</v>
      </c>
      <c r="CR168" s="311" t="s">
        <v>742</v>
      </c>
      <c r="CS168" s="311" t="s">
        <v>742</v>
      </c>
      <c r="CT168" s="311"/>
      <c r="CU168" s="311"/>
      <c r="CV168" s="311"/>
      <c r="CW168" s="311"/>
      <c r="CX168" s="311"/>
      <c r="CY168" s="311"/>
      <c r="CZ168" s="311"/>
      <c r="DA168" s="311"/>
      <c r="DB168" s="311"/>
      <c r="DC168" s="311"/>
      <c r="DD168" s="311"/>
      <c r="DE168" s="316"/>
      <c r="DF168" s="314"/>
      <c r="DG168" s="314"/>
      <c r="DH168" s="314"/>
      <c r="DI168" s="314"/>
      <c r="DJ168" s="314"/>
      <c r="DK168" s="314">
        <v>0</v>
      </c>
      <c r="DL168" s="314">
        <v>0</v>
      </c>
      <c r="DM168" s="314">
        <v>0</v>
      </c>
      <c r="DN168" s="314">
        <v>0</v>
      </c>
      <c r="DO168" s="314">
        <v>0</v>
      </c>
      <c r="DP168" s="314">
        <v>0</v>
      </c>
      <c r="DQ168" s="314">
        <v>123081</v>
      </c>
      <c r="DR168" s="314">
        <v>0</v>
      </c>
      <c r="DS168" s="314">
        <v>0</v>
      </c>
      <c r="DT168" s="314">
        <v>0</v>
      </c>
      <c r="DU168" s="314">
        <v>0</v>
      </c>
      <c r="DV168" s="314">
        <v>0</v>
      </c>
      <c r="DW168" s="314">
        <v>123081</v>
      </c>
      <c r="DX168" s="314">
        <v>0</v>
      </c>
      <c r="DY168" s="314">
        <v>123081</v>
      </c>
      <c r="DZ168" s="314">
        <v>0</v>
      </c>
      <c r="EA168" s="314">
        <v>123081</v>
      </c>
      <c r="EB168" s="314">
        <v>0</v>
      </c>
      <c r="EC168" s="317">
        <v>0</v>
      </c>
      <c r="ED168" s="317">
        <v>0</v>
      </c>
      <c r="EE168" s="317">
        <v>0</v>
      </c>
      <c r="EF168" s="317">
        <v>0</v>
      </c>
      <c r="EG168" s="317">
        <v>0</v>
      </c>
      <c r="EH168" s="317">
        <v>0</v>
      </c>
      <c r="EI168" s="317">
        <v>1</v>
      </c>
      <c r="EJ168" s="317">
        <v>0</v>
      </c>
      <c r="EK168" s="317">
        <v>0</v>
      </c>
      <c r="EL168" s="317">
        <v>0</v>
      </c>
      <c r="EM168" s="317">
        <v>0</v>
      </c>
      <c r="EN168" s="317">
        <v>0</v>
      </c>
      <c r="EO168" s="317">
        <v>1</v>
      </c>
      <c r="EP168" s="317">
        <v>0</v>
      </c>
      <c r="EQ168" s="317">
        <v>1</v>
      </c>
      <c r="ER168" s="317">
        <v>0</v>
      </c>
      <c r="ES168" s="317">
        <v>1</v>
      </c>
      <c r="ET168" s="317">
        <v>0</v>
      </c>
    </row>
    <row r="169" spans="1:150" x14ac:dyDescent="0.25">
      <c r="A169" s="310">
        <v>8495</v>
      </c>
      <c r="B169" s="310">
        <v>2023</v>
      </c>
      <c r="C169" s="310" t="s">
        <v>10</v>
      </c>
      <c r="D169" s="310" t="s">
        <v>1027</v>
      </c>
      <c r="E169" s="310">
        <v>58794</v>
      </c>
      <c r="F169" s="310" t="s">
        <v>1028</v>
      </c>
      <c r="G169" s="310">
        <v>12901</v>
      </c>
      <c r="H169" s="310" t="s">
        <v>1029</v>
      </c>
      <c r="I169" s="310">
        <v>58681</v>
      </c>
      <c r="J169" s="310" t="s">
        <v>748</v>
      </c>
      <c r="K169" s="310" t="s">
        <v>760</v>
      </c>
      <c r="L169" s="310" t="s">
        <v>761</v>
      </c>
      <c r="M169" s="310" t="s">
        <v>732</v>
      </c>
      <c r="N169" s="310" t="s">
        <v>733</v>
      </c>
      <c r="O169" s="310" t="s">
        <v>734</v>
      </c>
      <c r="P169" s="310"/>
      <c r="Q169" s="310" t="s">
        <v>735</v>
      </c>
      <c r="R169" s="310" t="s">
        <v>952</v>
      </c>
      <c r="S169" s="310" t="s">
        <v>953</v>
      </c>
      <c r="T169" s="310">
        <v>35.656944000000003</v>
      </c>
      <c r="U169" s="310">
        <v>-105.18388899999999</v>
      </c>
      <c r="V169" s="310"/>
      <c r="W169" s="311">
        <v>1</v>
      </c>
      <c r="X169" s="311">
        <v>1</v>
      </c>
      <c r="Y169" s="310" t="s">
        <v>826</v>
      </c>
      <c r="Z169" s="310" t="s">
        <v>827</v>
      </c>
      <c r="AA169" s="310"/>
      <c r="AB169" s="312">
        <v>0.18804999999999999</v>
      </c>
      <c r="AC169" s="313">
        <v>1.5</v>
      </c>
      <c r="AD169" s="312"/>
      <c r="AE169" s="310"/>
      <c r="AF169" s="310"/>
      <c r="AG169" s="311"/>
      <c r="AH169" s="311"/>
      <c r="AI169" s="312"/>
      <c r="AJ169" s="310"/>
      <c r="AK169" s="314"/>
      <c r="AL169" s="314"/>
      <c r="AM169" s="314">
        <v>8432</v>
      </c>
      <c r="AN169" s="314">
        <v>3214</v>
      </c>
      <c r="AO169" s="314">
        <v>2471</v>
      </c>
      <c r="AP169" s="314">
        <v>942</v>
      </c>
      <c r="AQ169" s="314"/>
      <c r="AR169" s="314"/>
      <c r="AS169" s="314"/>
      <c r="AT169" s="314"/>
      <c r="AU169" s="314"/>
      <c r="AV169" s="314"/>
      <c r="AW169" s="314"/>
      <c r="AX169" s="314"/>
      <c r="AY169" s="315"/>
      <c r="AZ169" s="315"/>
      <c r="BA169" s="315"/>
      <c r="BB169" s="315"/>
      <c r="BC169" s="315"/>
      <c r="BD169" s="315"/>
      <c r="BE169" s="315"/>
      <c r="BF169" s="315"/>
      <c r="BG169" s="315"/>
      <c r="BH169" s="315"/>
      <c r="BI169" s="315"/>
      <c r="BJ169" s="315"/>
      <c r="BK169" s="315"/>
      <c r="BL169" s="315"/>
      <c r="BM169" s="315"/>
      <c r="BN169" s="315"/>
      <c r="BO169" s="315"/>
      <c r="BP169" s="315"/>
      <c r="BQ169" s="315"/>
      <c r="BR169" s="315"/>
      <c r="BS169" s="315"/>
      <c r="BT169" s="315"/>
      <c r="BU169" s="315"/>
      <c r="BV169" s="315"/>
      <c r="BW169" s="311"/>
      <c r="BX169" s="311"/>
      <c r="BY169" s="311"/>
      <c r="BZ169" s="311"/>
      <c r="CA169" s="311"/>
      <c r="CB169" s="311"/>
      <c r="CC169" s="311"/>
      <c r="CD169" s="311"/>
      <c r="CE169" s="311"/>
      <c r="CF169" s="311"/>
      <c r="CG169" s="311"/>
      <c r="CH169" s="310">
        <v>8432</v>
      </c>
      <c r="CI169" s="310">
        <v>3214</v>
      </c>
      <c r="CJ169" s="310"/>
      <c r="CK169" s="310"/>
      <c r="CL169" s="310"/>
      <c r="CM169" s="310"/>
      <c r="CN169" s="310"/>
      <c r="CO169" s="310"/>
      <c r="CP169" s="310"/>
      <c r="CQ169" s="311" t="s">
        <v>744</v>
      </c>
      <c r="CR169" s="311" t="s">
        <v>742</v>
      </c>
      <c r="CS169" s="311" t="s">
        <v>742</v>
      </c>
      <c r="CT169" s="311"/>
      <c r="CU169" s="311"/>
      <c r="CV169" s="311"/>
      <c r="CW169" s="311"/>
      <c r="CX169" s="311"/>
      <c r="CY169" s="311"/>
      <c r="CZ169" s="311"/>
      <c r="DA169" s="311"/>
      <c r="DB169" s="311"/>
      <c r="DC169" s="311"/>
      <c r="DD169" s="311"/>
      <c r="DE169" s="316"/>
      <c r="DF169" s="314"/>
      <c r="DG169" s="314"/>
      <c r="DH169" s="314"/>
      <c r="DI169" s="314"/>
      <c r="DJ169" s="314"/>
      <c r="DK169" s="314">
        <v>0</v>
      </c>
      <c r="DL169" s="314">
        <v>0</v>
      </c>
      <c r="DM169" s="314">
        <v>0</v>
      </c>
      <c r="DN169" s="314">
        <v>0</v>
      </c>
      <c r="DO169" s="314">
        <v>0</v>
      </c>
      <c r="DP169" s="314">
        <v>0</v>
      </c>
      <c r="DQ169" s="314">
        <v>0</v>
      </c>
      <c r="DR169" s="314">
        <v>2471</v>
      </c>
      <c r="DS169" s="314">
        <v>0</v>
      </c>
      <c r="DT169" s="314">
        <v>0</v>
      </c>
      <c r="DU169" s="314">
        <v>0</v>
      </c>
      <c r="DV169" s="314">
        <v>0</v>
      </c>
      <c r="DW169" s="314">
        <v>2471</v>
      </c>
      <c r="DX169" s="314">
        <v>0</v>
      </c>
      <c r="DY169" s="314">
        <v>2471</v>
      </c>
      <c r="DZ169" s="314">
        <v>0</v>
      </c>
      <c r="EA169" s="314">
        <v>2471</v>
      </c>
      <c r="EB169" s="314">
        <v>0</v>
      </c>
      <c r="EC169" s="317">
        <v>0</v>
      </c>
      <c r="ED169" s="317">
        <v>0</v>
      </c>
      <c r="EE169" s="317">
        <v>0</v>
      </c>
      <c r="EF169" s="317">
        <v>0</v>
      </c>
      <c r="EG169" s="317">
        <v>0</v>
      </c>
      <c r="EH169" s="317">
        <v>0</v>
      </c>
      <c r="EI169" s="317">
        <v>0</v>
      </c>
      <c r="EJ169" s="317">
        <v>1</v>
      </c>
      <c r="EK169" s="317">
        <v>0</v>
      </c>
      <c r="EL169" s="317">
        <v>0</v>
      </c>
      <c r="EM169" s="317">
        <v>0</v>
      </c>
      <c r="EN169" s="317">
        <v>0</v>
      </c>
      <c r="EO169" s="317">
        <v>1</v>
      </c>
      <c r="EP169" s="317">
        <v>0</v>
      </c>
      <c r="EQ169" s="317">
        <v>1</v>
      </c>
      <c r="ER169" s="317">
        <v>0</v>
      </c>
      <c r="ES169" s="317">
        <v>1</v>
      </c>
      <c r="ET169" s="317">
        <v>0</v>
      </c>
    </row>
    <row r="170" spans="1:150" x14ac:dyDescent="0.25">
      <c r="A170" s="310">
        <v>8496</v>
      </c>
      <c r="B170" s="310">
        <v>2023</v>
      </c>
      <c r="C170" s="310" t="s">
        <v>10</v>
      </c>
      <c r="D170" s="310" t="s">
        <v>1030</v>
      </c>
      <c r="E170" s="310">
        <v>58588</v>
      </c>
      <c r="F170" s="310" t="s">
        <v>759</v>
      </c>
      <c r="G170" s="310">
        <v>15473</v>
      </c>
      <c r="H170" s="310" t="s">
        <v>949</v>
      </c>
      <c r="I170" s="310">
        <v>63249</v>
      </c>
      <c r="J170" s="310" t="s">
        <v>748</v>
      </c>
      <c r="K170" s="310" t="s">
        <v>760</v>
      </c>
      <c r="L170" s="310" t="s">
        <v>761</v>
      </c>
      <c r="M170" s="310" t="s">
        <v>732</v>
      </c>
      <c r="N170" s="310" t="s">
        <v>733</v>
      </c>
      <c r="O170" s="310" t="s">
        <v>734</v>
      </c>
      <c r="P170" s="310"/>
      <c r="Q170" s="310" t="s">
        <v>735</v>
      </c>
      <c r="R170" s="310" t="s">
        <v>832</v>
      </c>
      <c r="S170" s="310" t="s">
        <v>833</v>
      </c>
      <c r="T170" s="310">
        <v>35.313333</v>
      </c>
      <c r="U170" s="310">
        <v>-106.65777799999999</v>
      </c>
      <c r="V170" s="310"/>
      <c r="W170" s="311">
        <v>1</v>
      </c>
      <c r="X170" s="311">
        <v>1</v>
      </c>
      <c r="Y170" s="310" t="s">
        <v>826</v>
      </c>
      <c r="Z170" s="310" t="s">
        <v>827</v>
      </c>
      <c r="AA170" s="310"/>
      <c r="AB170" s="312">
        <v>0.23835999999999999</v>
      </c>
      <c r="AC170" s="313">
        <v>1</v>
      </c>
      <c r="AD170" s="312"/>
      <c r="AE170" s="310"/>
      <c r="AF170" s="310"/>
      <c r="AG170" s="311"/>
      <c r="AH170" s="311"/>
      <c r="AI170" s="312"/>
      <c r="AJ170" s="310"/>
      <c r="AK170" s="314"/>
      <c r="AL170" s="314"/>
      <c r="AM170" s="314">
        <v>7124</v>
      </c>
      <c r="AN170" s="314">
        <v>3610</v>
      </c>
      <c r="AO170" s="314">
        <v>2088</v>
      </c>
      <c r="AP170" s="314">
        <v>1058</v>
      </c>
      <c r="AQ170" s="314"/>
      <c r="AR170" s="314"/>
      <c r="AS170" s="314"/>
      <c r="AT170" s="314"/>
      <c r="AU170" s="314"/>
      <c r="AV170" s="314"/>
      <c r="AW170" s="314"/>
      <c r="AX170" s="314"/>
      <c r="AY170" s="315"/>
      <c r="AZ170" s="315"/>
      <c r="BA170" s="315"/>
      <c r="BB170" s="315"/>
      <c r="BC170" s="315"/>
      <c r="BD170" s="315"/>
      <c r="BE170" s="315"/>
      <c r="BF170" s="315"/>
      <c r="BG170" s="315"/>
      <c r="BH170" s="315"/>
      <c r="BI170" s="315"/>
      <c r="BJ170" s="315"/>
      <c r="BK170" s="315"/>
      <c r="BL170" s="315"/>
      <c r="BM170" s="315"/>
      <c r="BN170" s="315"/>
      <c r="BO170" s="315"/>
      <c r="BP170" s="315"/>
      <c r="BQ170" s="315"/>
      <c r="BR170" s="315"/>
      <c r="BS170" s="315"/>
      <c r="BT170" s="315"/>
      <c r="BU170" s="315"/>
      <c r="BV170" s="315"/>
      <c r="BW170" s="311"/>
      <c r="BX170" s="311"/>
      <c r="BY170" s="311"/>
      <c r="BZ170" s="311"/>
      <c r="CA170" s="311"/>
      <c r="CB170" s="311"/>
      <c r="CC170" s="311"/>
      <c r="CD170" s="311"/>
      <c r="CE170" s="311"/>
      <c r="CF170" s="311"/>
      <c r="CG170" s="311"/>
      <c r="CH170" s="310">
        <v>7124</v>
      </c>
      <c r="CI170" s="310">
        <v>3610</v>
      </c>
      <c r="CJ170" s="310"/>
      <c r="CK170" s="310"/>
      <c r="CL170" s="310"/>
      <c r="CM170" s="310"/>
      <c r="CN170" s="310"/>
      <c r="CO170" s="310"/>
      <c r="CP170" s="310"/>
      <c r="CQ170" s="311" t="s">
        <v>744</v>
      </c>
      <c r="CR170" s="311" t="s">
        <v>742</v>
      </c>
      <c r="CS170" s="311" t="s">
        <v>742</v>
      </c>
      <c r="CT170" s="311"/>
      <c r="CU170" s="311"/>
      <c r="CV170" s="311"/>
      <c r="CW170" s="311"/>
      <c r="CX170" s="311"/>
      <c r="CY170" s="311"/>
      <c r="CZ170" s="311"/>
      <c r="DA170" s="311"/>
      <c r="DB170" s="311"/>
      <c r="DC170" s="311"/>
      <c r="DD170" s="311"/>
      <c r="DE170" s="316"/>
      <c r="DF170" s="314"/>
      <c r="DG170" s="314"/>
      <c r="DH170" s="314"/>
      <c r="DI170" s="314"/>
      <c r="DJ170" s="314"/>
      <c r="DK170" s="314">
        <v>0</v>
      </c>
      <c r="DL170" s="314">
        <v>0</v>
      </c>
      <c r="DM170" s="314">
        <v>0</v>
      </c>
      <c r="DN170" s="314">
        <v>0</v>
      </c>
      <c r="DO170" s="314">
        <v>0</v>
      </c>
      <c r="DP170" s="314">
        <v>0</v>
      </c>
      <c r="DQ170" s="314">
        <v>0</v>
      </c>
      <c r="DR170" s="314">
        <v>2088</v>
      </c>
      <c r="DS170" s="314">
        <v>0</v>
      </c>
      <c r="DT170" s="314">
        <v>0</v>
      </c>
      <c r="DU170" s="314">
        <v>0</v>
      </c>
      <c r="DV170" s="314">
        <v>0</v>
      </c>
      <c r="DW170" s="314">
        <v>2088</v>
      </c>
      <c r="DX170" s="314">
        <v>0</v>
      </c>
      <c r="DY170" s="314">
        <v>2088</v>
      </c>
      <c r="DZ170" s="314">
        <v>0</v>
      </c>
      <c r="EA170" s="314">
        <v>2088</v>
      </c>
      <c r="EB170" s="314">
        <v>0</v>
      </c>
      <c r="EC170" s="317">
        <v>0</v>
      </c>
      <c r="ED170" s="317">
        <v>0</v>
      </c>
      <c r="EE170" s="317">
        <v>0</v>
      </c>
      <c r="EF170" s="317">
        <v>0</v>
      </c>
      <c r="EG170" s="317">
        <v>0</v>
      </c>
      <c r="EH170" s="317">
        <v>0</v>
      </c>
      <c r="EI170" s="317">
        <v>0</v>
      </c>
      <c r="EJ170" s="317">
        <v>1</v>
      </c>
      <c r="EK170" s="317">
        <v>0</v>
      </c>
      <c r="EL170" s="317">
        <v>0</v>
      </c>
      <c r="EM170" s="317">
        <v>0</v>
      </c>
      <c r="EN170" s="317">
        <v>0</v>
      </c>
      <c r="EO170" s="317">
        <v>1</v>
      </c>
      <c r="EP170" s="317">
        <v>0</v>
      </c>
      <c r="EQ170" s="317">
        <v>1</v>
      </c>
      <c r="ER170" s="317">
        <v>0</v>
      </c>
      <c r="ES170" s="317">
        <v>1</v>
      </c>
      <c r="ET170" s="317">
        <v>0</v>
      </c>
    </row>
    <row r="171" spans="1:150" x14ac:dyDescent="0.25">
      <c r="A171" s="310">
        <v>8497</v>
      </c>
      <c r="B171" s="310">
        <v>2023</v>
      </c>
      <c r="C171" s="310" t="s">
        <v>10</v>
      </c>
      <c r="D171" s="310" t="s">
        <v>1031</v>
      </c>
      <c r="E171" s="310">
        <v>57986</v>
      </c>
      <c r="F171" s="310" t="s">
        <v>758</v>
      </c>
      <c r="G171" s="310">
        <v>5701</v>
      </c>
      <c r="H171" s="310" t="s">
        <v>1031</v>
      </c>
      <c r="I171" s="310">
        <v>57360</v>
      </c>
      <c r="J171" s="310" t="s">
        <v>748</v>
      </c>
      <c r="K171" s="310" t="s">
        <v>769</v>
      </c>
      <c r="L171" s="310" t="s">
        <v>770</v>
      </c>
      <c r="M171" s="310" t="s">
        <v>732</v>
      </c>
      <c r="N171" s="310" t="s">
        <v>733</v>
      </c>
      <c r="O171" s="310" t="s">
        <v>734</v>
      </c>
      <c r="P171" s="310"/>
      <c r="Q171" s="310" t="s">
        <v>735</v>
      </c>
      <c r="R171" s="310" t="s">
        <v>766</v>
      </c>
      <c r="S171" s="310" t="s">
        <v>767</v>
      </c>
      <c r="T171" s="310">
        <v>32.034382999999998</v>
      </c>
      <c r="U171" s="310">
        <v>-106.340986</v>
      </c>
      <c r="V171" s="310"/>
      <c r="W171" s="311">
        <v>1</v>
      </c>
      <c r="X171" s="311">
        <v>1</v>
      </c>
      <c r="Y171" s="310" t="s">
        <v>826</v>
      </c>
      <c r="Z171" s="310" t="s">
        <v>827</v>
      </c>
      <c r="AA171" s="310"/>
      <c r="AB171" s="312">
        <v>0.29248000000000002</v>
      </c>
      <c r="AC171" s="313">
        <v>10</v>
      </c>
      <c r="AD171" s="312"/>
      <c r="AE171" s="310"/>
      <c r="AF171" s="310"/>
      <c r="AG171" s="311"/>
      <c r="AH171" s="311"/>
      <c r="AI171" s="312"/>
      <c r="AJ171" s="310"/>
      <c r="AK171" s="314"/>
      <c r="AL171" s="314"/>
      <c r="AM171" s="314">
        <v>87419</v>
      </c>
      <c r="AN171" s="314">
        <v>40613</v>
      </c>
      <c r="AO171" s="314">
        <v>25621</v>
      </c>
      <c r="AP171" s="314">
        <v>11903</v>
      </c>
      <c r="AQ171" s="314"/>
      <c r="AR171" s="314"/>
      <c r="AS171" s="314"/>
      <c r="AT171" s="314"/>
      <c r="AU171" s="314"/>
      <c r="AV171" s="314"/>
      <c r="AW171" s="314"/>
      <c r="AX171" s="314"/>
      <c r="AY171" s="315"/>
      <c r="AZ171" s="315"/>
      <c r="BA171" s="315"/>
      <c r="BB171" s="315"/>
      <c r="BC171" s="315"/>
      <c r="BD171" s="315"/>
      <c r="BE171" s="315"/>
      <c r="BF171" s="315"/>
      <c r="BG171" s="315"/>
      <c r="BH171" s="315"/>
      <c r="BI171" s="315"/>
      <c r="BJ171" s="315"/>
      <c r="BK171" s="315"/>
      <c r="BL171" s="315"/>
      <c r="BM171" s="315"/>
      <c r="BN171" s="315"/>
      <c r="BO171" s="315"/>
      <c r="BP171" s="315"/>
      <c r="BQ171" s="315"/>
      <c r="BR171" s="315"/>
      <c r="BS171" s="315"/>
      <c r="BT171" s="315"/>
      <c r="BU171" s="315"/>
      <c r="BV171" s="315"/>
      <c r="BW171" s="311"/>
      <c r="BX171" s="311"/>
      <c r="BY171" s="311"/>
      <c r="BZ171" s="311"/>
      <c r="CA171" s="311"/>
      <c r="CB171" s="311"/>
      <c r="CC171" s="311"/>
      <c r="CD171" s="311"/>
      <c r="CE171" s="311"/>
      <c r="CF171" s="311"/>
      <c r="CG171" s="311"/>
      <c r="CH171" s="310">
        <v>87419</v>
      </c>
      <c r="CI171" s="310">
        <v>40613</v>
      </c>
      <c r="CJ171" s="310"/>
      <c r="CK171" s="310"/>
      <c r="CL171" s="310"/>
      <c r="CM171" s="310"/>
      <c r="CN171" s="310"/>
      <c r="CO171" s="310"/>
      <c r="CP171" s="310"/>
      <c r="CQ171" s="311" t="s">
        <v>744</v>
      </c>
      <c r="CR171" s="311" t="s">
        <v>742</v>
      </c>
      <c r="CS171" s="311" t="s">
        <v>742</v>
      </c>
      <c r="CT171" s="311"/>
      <c r="CU171" s="311"/>
      <c r="CV171" s="311"/>
      <c r="CW171" s="311"/>
      <c r="CX171" s="311"/>
      <c r="CY171" s="311"/>
      <c r="CZ171" s="311"/>
      <c r="DA171" s="311"/>
      <c r="DB171" s="311"/>
      <c r="DC171" s="311"/>
      <c r="DD171" s="311"/>
      <c r="DE171" s="316"/>
      <c r="DF171" s="314"/>
      <c r="DG171" s="314"/>
      <c r="DH171" s="314"/>
      <c r="DI171" s="314"/>
      <c r="DJ171" s="314"/>
      <c r="DK171" s="314">
        <v>0</v>
      </c>
      <c r="DL171" s="314">
        <v>0</v>
      </c>
      <c r="DM171" s="314">
        <v>0</v>
      </c>
      <c r="DN171" s="314">
        <v>0</v>
      </c>
      <c r="DO171" s="314">
        <v>0</v>
      </c>
      <c r="DP171" s="314">
        <v>0</v>
      </c>
      <c r="DQ171" s="314">
        <v>0</v>
      </c>
      <c r="DR171" s="314">
        <v>25621</v>
      </c>
      <c r="DS171" s="314">
        <v>0</v>
      </c>
      <c r="DT171" s="314">
        <v>0</v>
      </c>
      <c r="DU171" s="314">
        <v>0</v>
      </c>
      <c r="DV171" s="314">
        <v>0</v>
      </c>
      <c r="DW171" s="314">
        <v>25621</v>
      </c>
      <c r="DX171" s="314">
        <v>0</v>
      </c>
      <c r="DY171" s="314">
        <v>25621</v>
      </c>
      <c r="DZ171" s="314">
        <v>0</v>
      </c>
      <c r="EA171" s="314">
        <v>25621</v>
      </c>
      <c r="EB171" s="314">
        <v>0</v>
      </c>
      <c r="EC171" s="317">
        <v>0</v>
      </c>
      <c r="ED171" s="317">
        <v>0</v>
      </c>
      <c r="EE171" s="317">
        <v>0</v>
      </c>
      <c r="EF171" s="317">
        <v>0</v>
      </c>
      <c r="EG171" s="317">
        <v>0</v>
      </c>
      <c r="EH171" s="317">
        <v>0</v>
      </c>
      <c r="EI171" s="317">
        <v>0</v>
      </c>
      <c r="EJ171" s="317">
        <v>1</v>
      </c>
      <c r="EK171" s="317">
        <v>0</v>
      </c>
      <c r="EL171" s="317">
        <v>0</v>
      </c>
      <c r="EM171" s="317">
        <v>0</v>
      </c>
      <c r="EN171" s="317">
        <v>0</v>
      </c>
      <c r="EO171" s="317">
        <v>1</v>
      </c>
      <c r="EP171" s="317">
        <v>0</v>
      </c>
      <c r="EQ171" s="317">
        <v>1</v>
      </c>
      <c r="ER171" s="317">
        <v>0</v>
      </c>
      <c r="ES171" s="317">
        <v>1</v>
      </c>
      <c r="ET171" s="317">
        <v>0</v>
      </c>
    </row>
    <row r="172" spans="1:150" x14ac:dyDescent="0.25">
      <c r="A172" s="310">
        <v>8498</v>
      </c>
      <c r="B172" s="310">
        <v>2023</v>
      </c>
      <c r="C172" s="310" t="s">
        <v>10</v>
      </c>
      <c r="D172" s="310" t="s">
        <v>1032</v>
      </c>
      <c r="E172" s="310">
        <v>57985</v>
      </c>
      <c r="F172" s="310" t="s">
        <v>758</v>
      </c>
      <c r="G172" s="310">
        <v>5701</v>
      </c>
      <c r="H172" s="310" t="s">
        <v>1033</v>
      </c>
      <c r="I172" s="310">
        <v>57361</v>
      </c>
      <c r="J172" s="310" t="s">
        <v>748</v>
      </c>
      <c r="K172" s="310" t="s">
        <v>769</v>
      </c>
      <c r="L172" s="310" t="s">
        <v>770</v>
      </c>
      <c r="M172" s="310" t="s">
        <v>732</v>
      </c>
      <c r="N172" s="310" t="s">
        <v>733</v>
      </c>
      <c r="O172" s="310" t="s">
        <v>734</v>
      </c>
      <c r="P172" s="310"/>
      <c r="Q172" s="310" t="s">
        <v>735</v>
      </c>
      <c r="R172" s="310" t="s">
        <v>766</v>
      </c>
      <c r="S172" s="310" t="s">
        <v>767</v>
      </c>
      <c r="T172" s="310">
        <v>32.251666999999998</v>
      </c>
      <c r="U172" s="310">
        <v>-106.91333299999999</v>
      </c>
      <c r="V172" s="310"/>
      <c r="W172" s="311">
        <v>1</v>
      </c>
      <c r="X172" s="311">
        <v>1</v>
      </c>
      <c r="Y172" s="310" t="s">
        <v>826</v>
      </c>
      <c r="Z172" s="310" t="s">
        <v>827</v>
      </c>
      <c r="AA172" s="310"/>
      <c r="AB172" s="312">
        <v>0.24995999999999999</v>
      </c>
      <c r="AC172" s="313">
        <v>12</v>
      </c>
      <c r="AD172" s="312"/>
      <c r="AE172" s="310"/>
      <c r="AF172" s="310"/>
      <c r="AG172" s="311"/>
      <c r="AH172" s="311"/>
      <c r="AI172" s="312"/>
      <c r="AJ172" s="310"/>
      <c r="AK172" s="314"/>
      <c r="AL172" s="314"/>
      <c r="AM172" s="314">
        <v>89655</v>
      </c>
      <c r="AN172" s="314">
        <v>38420</v>
      </c>
      <c r="AO172" s="314">
        <v>26276</v>
      </c>
      <c r="AP172" s="314">
        <v>11260</v>
      </c>
      <c r="AQ172" s="314"/>
      <c r="AR172" s="314"/>
      <c r="AS172" s="314"/>
      <c r="AT172" s="314"/>
      <c r="AU172" s="314"/>
      <c r="AV172" s="314"/>
      <c r="AW172" s="314"/>
      <c r="AX172" s="314"/>
      <c r="AY172" s="315"/>
      <c r="AZ172" s="315"/>
      <c r="BA172" s="315"/>
      <c r="BB172" s="315"/>
      <c r="BC172" s="315"/>
      <c r="BD172" s="315"/>
      <c r="BE172" s="315"/>
      <c r="BF172" s="315"/>
      <c r="BG172" s="315"/>
      <c r="BH172" s="315"/>
      <c r="BI172" s="315"/>
      <c r="BJ172" s="315"/>
      <c r="BK172" s="315"/>
      <c r="BL172" s="315"/>
      <c r="BM172" s="315"/>
      <c r="BN172" s="315"/>
      <c r="BO172" s="315"/>
      <c r="BP172" s="315"/>
      <c r="BQ172" s="315"/>
      <c r="BR172" s="315"/>
      <c r="BS172" s="315"/>
      <c r="BT172" s="315"/>
      <c r="BU172" s="315"/>
      <c r="BV172" s="315"/>
      <c r="BW172" s="311"/>
      <c r="BX172" s="311"/>
      <c r="BY172" s="311"/>
      <c r="BZ172" s="311"/>
      <c r="CA172" s="311"/>
      <c r="CB172" s="311"/>
      <c r="CC172" s="311"/>
      <c r="CD172" s="311"/>
      <c r="CE172" s="311"/>
      <c r="CF172" s="311"/>
      <c r="CG172" s="311"/>
      <c r="CH172" s="310">
        <v>89655</v>
      </c>
      <c r="CI172" s="310">
        <v>38420</v>
      </c>
      <c r="CJ172" s="310"/>
      <c r="CK172" s="310"/>
      <c r="CL172" s="310"/>
      <c r="CM172" s="310"/>
      <c r="CN172" s="310"/>
      <c r="CO172" s="310"/>
      <c r="CP172" s="310"/>
      <c r="CQ172" s="311" t="s">
        <v>744</v>
      </c>
      <c r="CR172" s="311" t="s">
        <v>742</v>
      </c>
      <c r="CS172" s="311" t="s">
        <v>742</v>
      </c>
      <c r="CT172" s="311"/>
      <c r="CU172" s="311"/>
      <c r="CV172" s="311"/>
      <c r="CW172" s="311"/>
      <c r="CX172" s="311"/>
      <c r="CY172" s="311"/>
      <c r="CZ172" s="311"/>
      <c r="DA172" s="311"/>
      <c r="DB172" s="311"/>
      <c r="DC172" s="311"/>
      <c r="DD172" s="311"/>
      <c r="DE172" s="316"/>
      <c r="DF172" s="314"/>
      <c r="DG172" s="314"/>
      <c r="DH172" s="314"/>
      <c r="DI172" s="314"/>
      <c r="DJ172" s="314"/>
      <c r="DK172" s="314">
        <v>0</v>
      </c>
      <c r="DL172" s="314">
        <v>0</v>
      </c>
      <c r="DM172" s="314">
        <v>0</v>
      </c>
      <c r="DN172" s="314">
        <v>0</v>
      </c>
      <c r="DO172" s="314">
        <v>0</v>
      </c>
      <c r="DP172" s="314">
        <v>0</v>
      </c>
      <c r="DQ172" s="314">
        <v>0</v>
      </c>
      <c r="DR172" s="314">
        <v>26276</v>
      </c>
      <c r="DS172" s="314">
        <v>0</v>
      </c>
      <c r="DT172" s="314">
        <v>0</v>
      </c>
      <c r="DU172" s="314">
        <v>0</v>
      </c>
      <c r="DV172" s="314">
        <v>0</v>
      </c>
      <c r="DW172" s="314">
        <v>26276</v>
      </c>
      <c r="DX172" s="314">
        <v>0</v>
      </c>
      <c r="DY172" s="314">
        <v>26276</v>
      </c>
      <c r="DZ172" s="314">
        <v>0</v>
      </c>
      <c r="EA172" s="314">
        <v>26276</v>
      </c>
      <c r="EB172" s="314">
        <v>0</v>
      </c>
      <c r="EC172" s="317">
        <v>0</v>
      </c>
      <c r="ED172" s="317">
        <v>0</v>
      </c>
      <c r="EE172" s="317">
        <v>0</v>
      </c>
      <c r="EF172" s="317">
        <v>0</v>
      </c>
      <c r="EG172" s="317">
        <v>0</v>
      </c>
      <c r="EH172" s="317">
        <v>0</v>
      </c>
      <c r="EI172" s="317">
        <v>0</v>
      </c>
      <c r="EJ172" s="317">
        <v>1</v>
      </c>
      <c r="EK172" s="317">
        <v>0</v>
      </c>
      <c r="EL172" s="317">
        <v>0</v>
      </c>
      <c r="EM172" s="317">
        <v>0</v>
      </c>
      <c r="EN172" s="317">
        <v>0</v>
      </c>
      <c r="EO172" s="317">
        <v>1</v>
      </c>
      <c r="EP172" s="317">
        <v>0</v>
      </c>
      <c r="EQ172" s="317">
        <v>1</v>
      </c>
      <c r="ER172" s="317">
        <v>0</v>
      </c>
      <c r="ES172" s="317">
        <v>1</v>
      </c>
      <c r="ET172" s="317">
        <v>0</v>
      </c>
    </row>
    <row r="173" spans="1:150" x14ac:dyDescent="0.25">
      <c r="A173" s="310">
        <v>8499</v>
      </c>
      <c r="B173" s="310">
        <v>2023</v>
      </c>
      <c r="C173" s="310" t="s">
        <v>10</v>
      </c>
      <c r="D173" s="310" t="s">
        <v>1034</v>
      </c>
      <c r="E173" s="310">
        <v>62149</v>
      </c>
      <c r="F173" s="310" t="s">
        <v>844</v>
      </c>
      <c r="G173" s="310">
        <v>10378</v>
      </c>
      <c r="H173" s="310" t="s">
        <v>1035</v>
      </c>
      <c r="I173" s="310">
        <v>61685</v>
      </c>
      <c r="J173" s="310" t="s">
        <v>748</v>
      </c>
      <c r="K173" s="310" t="s">
        <v>760</v>
      </c>
      <c r="L173" s="310" t="s">
        <v>761</v>
      </c>
      <c r="M173" s="310" t="s">
        <v>732</v>
      </c>
      <c r="N173" s="310" t="s">
        <v>733</v>
      </c>
      <c r="O173" s="310" t="s">
        <v>734</v>
      </c>
      <c r="P173" s="310"/>
      <c r="Q173" s="310" t="s">
        <v>735</v>
      </c>
      <c r="R173" s="310" t="s">
        <v>846</v>
      </c>
      <c r="S173" s="310" t="s">
        <v>847</v>
      </c>
      <c r="T173" s="310">
        <v>36.544165999999997</v>
      </c>
      <c r="U173" s="310">
        <v>-105.27719999999999</v>
      </c>
      <c r="V173" s="310"/>
      <c r="W173" s="311">
        <v>1</v>
      </c>
      <c r="X173" s="311">
        <v>1</v>
      </c>
      <c r="Y173" s="310" t="s">
        <v>826</v>
      </c>
      <c r="Z173" s="310" t="s">
        <v>827</v>
      </c>
      <c r="AA173" s="310"/>
      <c r="AB173" s="312">
        <v>0.26279000000000002</v>
      </c>
      <c r="AC173" s="313">
        <v>1</v>
      </c>
      <c r="AD173" s="312"/>
      <c r="AE173" s="310"/>
      <c r="AF173" s="310"/>
      <c r="AG173" s="311"/>
      <c r="AH173" s="311"/>
      <c r="AI173" s="312"/>
      <c r="AJ173" s="310"/>
      <c r="AK173" s="314"/>
      <c r="AL173" s="314"/>
      <c r="AM173" s="314">
        <v>7854</v>
      </c>
      <c r="AN173" s="314">
        <v>3835</v>
      </c>
      <c r="AO173" s="314">
        <v>2302</v>
      </c>
      <c r="AP173" s="314">
        <v>1124</v>
      </c>
      <c r="AQ173" s="314"/>
      <c r="AR173" s="314"/>
      <c r="AS173" s="314"/>
      <c r="AT173" s="314"/>
      <c r="AU173" s="314"/>
      <c r="AV173" s="314"/>
      <c r="AW173" s="314"/>
      <c r="AX173" s="314"/>
      <c r="AY173" s="315"/>
      <c r="AZ173" s="315"/>
      <c r="BA173" s="315"/>
      <c r="BB173" s="315"/>
      <c r="BC173" s="315"/>
      <c r="BD173" s="315"/>
      <c r="BE173" s="315"/>
      <c r="BF173" s="315"/>
      <c r="BG173" s="315"/>
      <c r="BH173" s="315"/>
      <c r="BI173" s="315"/>
      <c r="BJ173" s="315"/>
      <c r="BK173" s="315"/>
      <c r="BL173" s="315"/>
      <c r="BM173" s="315"/>
      <c r="BN173" s="315"/>
      <c r="BO173" s="315"/>
      <c r="BP173" s="315"/>
      <c r="BQ173" s="315"/>
      <c r="BR173" s="315"/>
      <c r="BS173" s="315"/>
      <c r="BT173" s="315"/>
      <c r="BU173" s="315"/>
      <c r="BV173" s="315"/>
      <c r="BW173" s="311"/>
      <c r="BX173" s="311"/>
      <c r="BY173" s="311"/>
      <c r="BZ173" s="311"/>
      <c r="CA173" s="311"/>
      <c r="CB173" s="311"/>
      <c r="CC173" s="311"/>
      <c r="CD173" s="311"/>
      <c r="CE173" s="311"/>
      <c r="CF173" s="311"/>
      <c r="CG173" s="311"/>
      <c r="CH173" s="310">
        <v>7854</v>
      </c>
      <c r="CI173" s="310">
        <v>3835</v>
      </c>
      <c r="CJ173" s="310"/>
      <c r="CK173" s="310"/>
      <c r="CL173" s="310"/>
      <c r="CM173" s="310"/>
      <c r="CN173" s="310"/>
      <c r="CO173" s="310"/>
      <c r="CP173" s="310"/>
      <c r="CQ173" s="311" t="s">
        <v>744</v>
      </c>
      <c r="CR173" s="311" t="s">
        <v>742</v>
      </c>
      <c r="CS173" s="311" t="s">
        <v>742</v>
      </c>
      <c r="CT173" s="311"/>
      <c r="CU173" s="311"/>
      <c r="CV173" s="311"/>
      <c r="CW173" s="311"/>
      <c r="CX173" s="311"/>
      <c r="CY173" s="311"/>
      <c r="CZ173" s="311"/>
      <c r="DA173" s="311"/>
      <c r="DB173" s="311"/>
      <c r="DC173" s="311"/>
      <c r="DD173" s="311"/>
      <c r="DE173" s="316"/>
      <c r="DF173" s="314"/>
      <c r="DG173" s="314"/>
      <c r="DH173" s="314"/>
      <c r="DI173" s="314"/>
      <c r="DJ173" s="314"/>
      <c r="DK173" s="314">
        <v>0</v>
      </c>
      <c r="DL173" s="314">
        <v>0</v>
      </c>
      <c r="DM173" s="314">
        <v>0</v>
      </c>
      <c r="DN173" s="314">
        <v>0</v>
      </c>
      <c r="DO173" s="314">
        <v>0</v>
      </c>
      <c r="DP173" s="314">
        <v>0</v>
      </c>
      <c r="DQ173" s="314">
        <v>0</v>
      </c>
      <c r="DR173" s="314">
        <v>2302</v>
      </c>
      <c r="DS173" s="314">
        <v>0</v>
      </c>
      <c r="DT173" s="314">
        <v>0</v>
      </c>
      <c r="DU173" s="314">
        <v>0</v>
      </c>
      <c r="DV173" s="314">
        <v>0</v>
      </c>
      <c r="DW173" s="314">
        <v>2302</v>
      </c>
      <c r="DX173" s="314">
        <v>0</v>
      </c>
      <c r="DY173" s="314">
        <v>2302</v>
      </c>
      <c r="DZ173" s="314">
        <v>0</v>
      </c>
      <c r="EA173" s="314">
        <v>2302</v>
      </c>
      <c r="EB173" s="314">
        <v>0</v>
      </c>
      <c r="EC173" s="317">
        <v>0</v>
      </c>
      <c r="ED173" s="317">
        <v>0</v>
      </c>
      <c r="EE173" s="317">
        <v>0</v>
      </c>
      <c r="EF173" s="317">
        <v>0</v>
      </c>
      <c r="EG173" s="317">
        <v>0</v>
      </c>
      <c r="EH173" s="317">
        <v>0</v>
      </c>
      <c r="EI173" s="317">
        <v>0</v>
      </c>
      <c r="EJ173" s="317">
        <v>1</v>
      </c>
      <c r="EK173" s="317">
        <v>0</v>
      </c>
      <c r="EL173" s="317">
        <v>0</v>
      </c>
      <c r="EM173" s="317">
        <v>0</v>
      </c>
      <c r="EN173" s="317">
        <v>0</v>
      </c>
      <c r="EO173" s="317">
        <v>1</v>
      </c>
      <c r="EP173" s="317">
        <v>0</v>
      </c>
      <c r="EQ173" s="317">
        <v>1</v>
      </c>
      <c r="ER173" s="317">
        <v>0</v>
      </c>
      <c r="ES173" s="317">
        <v>1</v>
      </c>
      <c r="ET173" s="317">
        <v>0</v>
      </c>
    </row>
    <row r="174" spans="1:150" x14ac:dyDescent="0.25">
      <c r="A174" s="310">
        <v>8500</v>
      </c>
      <c r="B174" s="310">
        <v>2023</v>
      </c>
      <c r="C174" s="310" t="s">
        <v>10</v>
      </c>
      <c r="D174" s="310" t="s">
        <v>1036</v>
      </c>
      <c r="E174" s="310">
        <v>63124</v>
      </c>
      <c r="F174" s="310" t="s">
        <v>844</v>
      </c>
      <c r="G174" s="310">
        <v>10378</v>
      </c>
      <c r="H174" s="310" t="s">
        <v>1037</v>
      </c>
      <c r="I174" s="310">
        <v>62904</v>
      </c>
      <c r="J174" s="310" t="s">
        <v>748</v>
      </c>
      <c r="K174" s="310" t="s">
        <v>760</v>
      </c>
      <c r="L174" s="310" t="s">
        <v>761</v>
      </c>
      <c r="M174" s="310" t="s">
        <v>732</v>
      </c>
      <c r="N174" s="310" t="s">
        <v>733</v>
      </c>
      <c r="O174" s="310" t="s">
        <v>734</v>
      </c>
      <c r="P174" s="310"/>
      <c r="Q174" s="310" t="s">
        <v>735</v>
      </c>
      <c r="R174" s="310" t="s">
        <v>818</v>
      </c>
      <c r="S174" s="310" t="s">
        <v>819</v>
      </c>
      <c r="T174" s="310">
        <v>36.331724000000001</v>
      </c>
      <c r="U174" s="310">
        <v>-106.190105</v>
      </c>
      <c r="V174" s="310"/>
      <c r="W174" s="311">
        <v>1</v>
      </c>
      <c r="X174" s="311">
        <v>1</v>
      </c>
      <c r="Y174" s="310" t="s">
        <v>826</v>
      </c>
      <c r="Z174" s="310" t="s">
        <v>827</v>
      </c>
      <c r="AA174" s="310"/>
      <c r="AB174" s="312">
        <v>0.26976</v>
      </c>
      <c r="AC174" s="313">
        <v>1.6</v>
      </c>
      <c r="AD174" s="312"/>
      <c r="AE174" s="310"/>
      <c r="AF174" s="310"/>
      <c r="AG174" s="311"/>
      <c r="AH174" s="311"/>
      <c r="AI174" s="312"/>
      <c r="AJ174" s="310"/>
      <c r="AK174" s="314"/>
      <c r="AL174" s="314"/>
      <c r="AM174" s="314">
        <v>12900</v>
      </c>
      <c r="AN174" s="314">
        <v>6527</v>
      </c>
      <c r="AO174" s="314">
        <v>3781</v>
      </c>
      <c r="AP174" s="314">
        <v>1913</v>
      </c>
      <c r="AQ174" s="314"/>
      <c r="AR174" s="314"/>
      <c r="AS174" s="314"/>
      <c r="AT174" s="314"/>
      <c r="AU174" s="314"/>
      <c r="AV174" s="314"/>
      <c r="AW174" s="314"/>
      <c r="AX174" s="314"/>
      <c r="AY174" s="315"/>
      <c r="AZ174" s="315"/>
      <c r="BA174" s="315"/>
      <c r="BB174" s="315"/>
      <c r="BC174" s="315"/>
      <c r="BD174" s="315"/>
      <c r="BE174" s="315"/>
      <c r="BF174" s="315"/>
      <c r="BG174" s="315"/>
      <c r="BH174" s="315"/>
      <c r="BI174" s="315"/>
      <c r="BJ174" s="315"/>
      <c r="BK174" s="315"/>
      <c r="BL174" s="315"/>
      <c r="BM174" s="315"/>
      <c r="BN174" s="315"/>
      <c r="BO174" s="315"/>
      <c r="BP174" s="315"/>
      <c r="BQ174" s="315"/>
      <c r="BR174" s="315"/>
      <c r="BS174" s="315"/>
      <c r="BT174" s="315"/>
      <c r="BU174" s="315"/>
      <c r="BV174" s="315"/>
      <c r="BW174" s="311"/>
      <c r="BX174" s="311"/>
      <c r="BY174" s="311"/>
      <c r="BZ174" s="311"/>
      <c r="CA174" s="311"/>
      <c r="CB174" s="311"/>
      <c r="CC174" s="311"/>
      <c r="CD174" s="311"/>
      <c r="CE174" s="311"/>
      <c r="CF174" s="311"/>
      <c r="CG174" s="311"/>
      <c r="CH174" s="310">
        <v>12900</v>
      </c>
      <c r="CI174" s="310">
        <v>6527</v>
      </c>
      <c r="CJ174" s="310"/>
      <c r="CK174" s="310"/>
      <c r="CL174" s="310"/>
      <c r="CM174" s="310"/>
      <c r="CN174" s="310"/>
      <c r="CO174" s="310"/>
      <c r="CP174" s="310"/>
      <c r="CQ174" s="311" t="s">
        <v>744</v>
      </c>
      <c r="CR174" s="311" t="s">
        <v>742</v>
      </c>
      <c r="CS174" s="311" t="s">
        <v>742</v>
      </c>
      <c r="CT174" s="311"/>
      <c r="CU174" s="311"/>
      <c r="CV174" s="311"/>
      <c r="CW174" s="311"/>
      <c r="CX174" s="311"/>
      <c r="CY174" s="311"/>
      <c r="CZ174" s="311"/>
      <c r="DA174" s="311"/>
      <c r="DB174" s="311"/>
      <c r="DC174" s="311"/>
      <c r="DD174" s="311"/>
      <c r="DE174" s="316"/>
      <c r="DF174" s="314"/>
      <c r="DG174" s="314"/>
      <c r="DH174" s="314"/>
      <c r="DI174" s="314"/>
      <c r="DJ174" s="314"/>
      <c r="DK174" s="314">
        <v>0</v>
      </c>
      <c r="DL174" s="314">
        <v>0</v>
      </c>
      <c r="DM174" s="314">
        <v>0</v>
      </c>
      <c r="DN174" s="314">
        <v>0</v>
      </c>
      <c r="DO174" s="314">
        <v>0</v>
      </c>
      <c r="DP174" s="314">
        <v>0</v>
      </c>
      <c r="DQ174" s="314">
        <v>0</v>
      </c>
      <c r="DR174" s="314">
        <v>3781</v>
      </c>
      <c r="DS174" s="314">
        <v>0</v>
      </c>
      <c r="DT174" s="314">
        <v>0</v>
      </c>
      <c r="DU174" s="314">
        <v>0</v>
      </c>
      <c r="DV174" s="314">
        <v>0</v>
      </c>
      <c r="DW174" s="314">
        <v>3781</v>
      </c>
      <c r="DX174" s="314">
        <v>0</v>
      </c>
      <c r="DY174" s="314">
        <v>3781</v>
      </c>
      <c r="DZ174" s="314">
        <v>0</v>
      </c>
      <c r="EA174" s="314">
        <v>3781</v>
      </c>
      <c r="EB174" s="314">
        <v>0</v>
      </c>
      <c r="EC174" s="317">
        <v>0</v>
      </c>
      <c r="ED174" s="317">
        <v>0</v>
      </c>
      <c r="EE174" s="317">
        <v>0</v>
      </c>
      <c r="EF174" s="317">
        <v>0</v>
      </c>
      <c r="EG174" s="317">
        <v>0</v>
      </c>
      <c r="EH174" s="317">
        <v>0</v>
      </c>
      <c r="EI174" s="317">
        <v>0</v>
      </c>
      <c r="EJ174" s="317">
        <v>1</v>
      </c>
      <c r="EK174" s="317">
        <v>0</v>
      </c>
      <c r="EL174" s="317">
        <v>0</v>
      </c>
      <c r="EM174" s="317">
        <v>0</v>
      </c>
      <c r="EN174" s="317">
        <v>0</v>
      </c>
      <c r="EO174" s="317">
        <v>1</v>
      </c>
      <c r="EP174" s="317">
        <v>0</v>
      </c>
      <c r="EQ174" s="317">
        <v>1</v>
      </c>
      <c r="ER174" s="317">
        <v>0</v>
      </c>
      <c r="ES174" s="317">
        <v>1</v>
      </c>
      <c r="ET174" s="317">
        <v>0</v>
      </c>
    </row>
    <row r="175" spans="1:150" x14ac:dyDescent="0.25">
      <c r="A175" s="310">
        <v>8501</v>
      </c>
      <c r="B175" s="310">
        <v>2023</v>
      </c>
      <c r="C175" s="310" t="s">
        <v>10</v>
      </c>
      <c r="D175" s="310" t="s">
        <v>1038</v>
      </c>
      <c r="E175" s="310">
        <v>63125</v>
      </c>
      <c r="F175" s="310" t="s">
        <v>844</v>
      </c>
      <c r="G175" s="310">
        <v>10378</v>
      </c>
      <c r="H175" s="310" t="s">
        <v>1039</v>
      </c>
      <c r="I175" s="310">
        <v>62906</v>
      </c>
      <c r="J175" s="310" t="s">
        <v>748</v>
      </c>
      <c r="K175" s="310" t="s">
        <v>760</v>
      </c>
      <c r="L175" s="310" t="s">
        <v>761</v>
      </c>
      <c r="M175" s="310" t="s">
        <v>732</v>
      </c>
      <c r="N175" s="310" t="s">
        <v>733</v>
      </c>
      <c r="O175" s="310" t="s">
        <v>734</v>
      </c>
      <c r="P175" s="310"/>
      <c r="Q175" s="310" t="s">
        <v>735</v>
      </c>
      <c r="R175" s="310" t="s">
        <v>860</v>
      </c>
      <c r="S175" s="310" t="s">
        <v>861</v>
      </c>
      <c r="T175" s="310">
        <v>36.810668</v>
      </c>
      <c r="U175" s="310">
        <v>-105.588421</v>
      </c>
      <c r="V175" s="310"/>
      <c r="W175" s="311">
        <v>1</v>
      </c>
      <c r="X175" s="311">
        <v>1</v>
      </c>
      <c r="Y175" s="310" t="s">
        <v>826</v>
      </c>
      <c r="Z175" s="310" t="s">
        <v>827</v>
      </c>
      <c r="AA175" s="310"/>
      <c r="AB175" s="312">
        <v>0.28632000000000002</v>
      </c>
      <c r="AC175" s="313">
        <v>1.6</v>
      </c>
      <c r="AD175" s="312"/>
      <c r="AE175" s="310"/>
      <c r="AF175" s="310"/>
      <c r="AG175" s="311"/>
      <c r="AH175" s="311"/>
      <c r="AI175" s="312"/>
      <c r="AJ175" s="310"/>
      <c r="AK175" s="314"/>
      <c r="AL175" s="314"/>
      <c r="AM175" s="314">
        <v>13691</v>
      </c>
      <c r="AN175" s="314">
        <v>6724</v>
      </c>
      <c r="AO175" s="314">
        <v>4013</v>
      </c>
      <c r="AP175" s="314">
        <v>1971</v>
      </c>
      <c r="AQ175" s="314"/>
      <c r="AR175" s="314"/>
      <c r="AS175" s="314"/>
      <c r="AT175" s="314"/>
      <c r="AU175" s="314"/>
      <c r="AV175" s="314"/>
      <c r="AW175" s="314"/>
      <c r="AX175" s="314"/>
      <c r="AY175" s="315"/>
      <c r="AZ175" s="315"/>
      <c r="BA175" s="315"/>
      <c r="BB175" s="315"/>
      <c r="BC175" s="315"/>
      <c r="BD175" s="315"/>
      <c r="BE175" s="315"/>
      <c r="BF175" s="315"/>
      <c r="BG175" s="315"/>
      <c r="BH175" s="315"/>
      <c r="BI175" s="315"/>
      <c r="BJ175" s="315"/>
      <c r="BK175" s="315"/>
      <c r="BL175" s="315"/>
      <c r="BM175" s="315"/>
      <c r="BN175" s="315"/>
      <c r="BO175" s="315"/>
      <c r="BP175" s="315"/>
      <c r="BQ175" s="315"/>
      <c r="BR175" s="315"/>
      <c r="BS175" s="315"/>
      <c r="BT175" s="315"/>
      <c r="BU175" s="315"/>
      <c r="BV175" s="315"/>
      <c r="BW175" s="311"/>
      <c r="BX175" s="311"/>
      <c r="BY175" s="311"/>
      <c r="BZ175" s="311"/>
      <c r="CA175" s="311"/>
      <c r="CB175" s="311"/>
      <c r="CC175" s="311"/>
      <c r="CD175" s="311"/>
      <c r="CE175" s="311"/>
      <c r="CF175" s="311"/>
      <c r="CG175" s="311"/>
      <c r="CH175" s="310">
        <v>13691</v>
      </c>
      <c r="CI175" s="310">
        <v>6724</v>
      </c>
      <c r="CJ175" s="310"/>
      <c r="CK175" s="310"/>
      <c r="CL175" s="310"/>
      <c r="CM175" s="310"/>
      <c r="CN175" s="310"/>
      <c r="CO175" s="310"/>
      <c r="CP175" s="310"/>
      <c r="CQ175" s="311" t="s">
        <v>744</v>
      </c>
      <c r="CR175" s="311" t="s">
        <v>742</v>
      </c>
      <c r="CS175" s="311" t="s">
        <v>742</v>
      </c>
      <c r="CT175" s="311"/>
      <c r="CU175" s="311"/>
      <c r="CV175" s="311"/>
      <c r="CW175" s="311"/>
      <c r="CX175" s="311"/>
      <c r="CY175" s="311"/>
      <c r="CZ175" s="311"/>
      <c r="DA175" s="311"/>
      <c r="DB175" s="311"/>
      <c r="DC175" s="311"/>
      <c r="DD175" s="311"/>
      <c r="DE175" s="316"/>
      <c r="DF175" s="314"/>
      <c r="DG175" s="314"/>
      <c r="DH175" s="314"/>
      <c r="DI175" s="314"/>
      <c r="DJ175" s="314"/>
      <c r="DK175" s="314">
        <v>0</v>
      </c>
      <c r="DL175" s="314">
        <v>0</v>
      </c>
      <c r="DM175" s="314">
        <v>0</v>
      </c>
      <c r="DN175" s="314">
        <v>0</v>
      </c>
      <c r="DO175" s="314">
        <v>0</v>
      </c>
      <c r="DP175" s="314">
        <v>0</v>
      </c>
      <c r="DQ175" s="314">
        <v>0</v>
      </c>
      <c r="DR175" s="314">
        <v>4013</v>
      </c>
      <c r="DS175" s="314">
        <v>0</v>
      </c>
      <c r="DT175" s="314">
        <v>0</v>
      </c>
      <c r="DU175" s="314">
        <v>0</v>
      </c>
      <c r="DV175" s="314">
        <v>0</v>
      </c>
      <c r="DW175" s="314">
        <v>4013</v>
      </c>
      <c r="DX175" s="314">
        <v>0</v>
      </c>
      <c r="DY175" s="314">
        <v>4013</v>
      </c>
      <c r="DZ175" s="314">
        <v>0</v>
      </c>
      <c r="EA175" s="314">
        <v>4013</v>
      </c>
      <c r="EB175" s="314">
        <v>0</v>
      </c>
      <c r="EC175" s="317">
        <v>0</v>
      </c>
      <c r="ED175" s="317">
        <v>0</v>
      </c>
      <c r="EE175" s="317">
        <v>0</v>
      </c>
      <c r="EF175" s="317">
        <v>0</v>
      </c>
      <c r="EG175" s="317">
        <v>0</v>
      </c>
      <c r="EH175" s="317">
        <v>0</v>
      </c>
      <c r="EI175" s="317">
        <v>0</v>
      </c>
      <c r="EJ175" s="317">
        <v>1</v>
      </c>
      <c r="EK175" s="317">
        <v>0</v>
      </c>
      <c r="EL175" s="317">
        <v>0</v>
      </c>
      <c r="EM175" s="317">
        <v>0</v>
      </c>
      <c r="EN175" s="317">
        <v>0</v>
      </c>
      <c r="EO175" s="317">
        <v>1</v>
      </c>
      <c r="EP175" s="317">
        <v>0</v>
      </c>
      <c r="EQ175" s="317">
        <v>1</v>
      </c>
      <c r="ER175" s="317">
        <v>0</v>
      </c>
      <c r="ES175" s="317">
        <v>1</v>
      </c>
      <c r="ET175" s="317">
        <v>0</v>
      </c>
    </row>
    <row r="176" spans="1:150" x14ac:dyDescent="0.25">
      <c r="A176" s="310">
        <v>8502</v>
      </c>
      <c r="B176" s="310">
        <v>2023</v>
      </c>
      <c r="C176" s="310" t="s">
        <v>10</v>
      </c>
      <c r="D176" s="310" t="s">
        <v>1040</v>
      </c>
      <c r="E176" s="310">
        <v>63123</v>
      </c>
      <c r="F176" s="310" t="s">
        <v>844</v>
      </c>
      <c r="G176" s="310">
        <v>10378</v>
      </c>
      <c r="H176" s="310" t="s">
        <v>1041</v>
      </c>
      <c r="I176" s="310">
        <v>62905</v>
      </c>
      <c r="J176" s="310" t="s">
        <v>748</v>
      </c>
      <c r="K176" s="310" t="s">
        <v>760</v>
      </c>
      <c r="L176" s="310" t="s">
        <v>761</v>
      </c>
      <c r="M176" s="310" t="s">
        <v>732</v>
      </c>
      <c r="N176" s="310" t="s">
        <v>733</v>
      </c>
      <c r="O176" s="310" t="s">
        <v>734</v>
      </c>
      <c r="P176" s="310"/>
      <c r="Q176" s="310" t="s">
        <v>735</v>
      </c>
      <c r="R176" s="310" t="s">
        <v>860</v>
      </c>
      <c r="S176" s="310" t="s">
        <v>861</v>
      </c>
      <c r="T176" s="310">
        <v>36.371326000000003</v>
      </c>
      <c r="U176" s="310">
        <v>-105.660152</v>
      </c>
      <c r="V176" s="310"/>
      <c r="W176" s="311">
        <v>1</v>
      </c>
      <c r="X176" s="311">
        <v>1</v>
      </c>
      <c r="Y176" s="310" t="s">
        <v>826</v>
      </c>
      <c r="Z176" s="310" t="s">
        <v>827</v>
      </c>
      <c r="AA176" s="310"/>
      <c r="AB176" s="312">
        <v>0.30163000000000001</v>
      </c>
      <c r="AC176" s="313">
        <v>3.1</v>
      </c>
      <c r="AD176" s="312"/>
      <c r="AE176" s="310"/>
      <c r="AF176" s="310"/>
      <c r="AG176" s="311"/>
      <c r="AH176" s="311"/>
      <c r="AI176" s="312"/>
      <c r="AJ176" s="310"/>
      <c r="AK176" s="314"/>
      <c r="AL176" s="314"/>
      <c r="AM176" s="314">
        <v>27948</v>
      </c>
      <c r="AN176" s="314">
        <v>14201</v>
      </c>
      <c r="AO176" s="314">
        <v>8191</v>
      </c>
      <c r="AP176" s="314">
        <v>4162</v>
      </c>
      <c r="AQ176" s="314"/>
      <c r="AR176" s="314"/>
      <c r="AS176" s="314"/>
      <c r="AT176" s="314"/>
      <c r="AU176" s="314"/>
      <c r="AV176" s="314"/>
      <c r="AW176" s="314"/>
      <c r="AX176" s="314"/>
      <c r="AY176" s="315"/>
      <c r="AZ176" s="315"/>
      <c r="BA176" s="315"/>
      <c r="BB176" s="315"/>
      <c r="BC176" s="315"/>
      <c r="BD176" s="315"/>
      <c r="BE176" s="315"/>
      <c r="BF176" s="315"/>
      <c r="BG176" s="315"/>
      <c r="BH176" s="315"/>
      <c r="BI176" s="315"/>
      <c r="BJ176" s="315"/>
      <c r="BK176" s="315"/>
      <c r="BL176" s="315"/>
      <c r="BM176" s="315"/>
      <c r="BN176" s="315"/>
      <c r="BO176" s="315"/>
      <c r="BP176" s="315"/>
      <c r="BQ176" s="315"/>
      <c r="BR176" s="315"/>
      <c r="BS176" s="315"/>
      <c r="BT176" s="315"/>
      <c r="BU176" s="315"/>
      <c r="BV176" s="315"/>
      <c r="BW176" s="311"/>
      <c r="BX176" s="311"/>
      <c r="BY176" s="311"/>
      <c r="BZ176" s="311"/>
      <c r="CA176" s="311"/>
      <c r="CB176" s="311"/>
      <c r="CC176" s="311"/>
      <c r="CD176" s="311"/>
      <c r="CE176" s="311"/>
      <c r="CF176" s="311"/>
      <c r="CG176" s="311"/>
      <c r="CH176" s="310">
        <v>27948</v>
      </c>
      <c r="CI176" s="310">
        <v>14201</v>
      </c>
      <c r="CJ176" s="310"/>
      <c r="CK176" s="310"/>
      <c r="CL176" s="310"/>
      <c r="CM176" s="310"/>
      <c r="CN176" s="310"/>
      <c r="CO176" s="310"/>
      <c r="CP176" s="310"/>
      <c r="CQ176" s="311" t="s">
        <v>744</v>
      </c>
      <c r="CR176" s="311" t="s">
        <v>742</v>
      </c>
      <c r="CS176" s="311" t="s">
        <v>742</v>
      </c>
      <c r="CT176" s="311"/>
      <c r="CU176" s="311"/>
      <c r="CV176" s="311"/>
      <c r="CW176" s="311"/>
      <c r="CX176" s="311"/>
      <c r="CY176" s="311"/>
      <c r="CZ176" s="311"/>
      <c r="DA176" s="311"/>
      <c r="DB176" s="311"/>
      <c r="DC176" s="311"/>
      <c r="DD176" s="311"/>
      <c r="DE176" s="316"/>
      <c r="DF176" s="314"/>
      <c r="DG176" s="314"/>
      <c r="DH176" s="314"/>
      <c r="DI176" s="314"/>
      <c r="DJ176" s="314"/>
      <c r="DK176" s="314">
        <v>0</v>
      </c>
      <c r="DL176" s="314">
        <v>0</v>
      </c>
      <c r="DM176" s="314">
        <v>0</v>
      </c>
      <c r="DN176" s="314">
        <v>0</v>
      </c>
      <c r="DO176" s="314">
        <v>0</v>
      </c>
      <c r="DP176" s="314">
        <v>0</v>
      </c>
      <c r="DQ176" s="314">
        <v>0</v>
      </c>
      <c r="DR176" s="314">
        <v>8191</v>
      </c>
      <c r="DS176" s="314">
        <v>0</v>
      </c>
      <c r="DT176" s="314">
        <v>0</v>
      </c>
      <c r="DU176" s="314">
        <v>0</v>
      </c>
      <c r="DV176" s="314">
        <v>0</v>
      </c>
      <c r="DW176" s="314">
        <v>8191</v>
      </c>
      <c r="DX176" s="314">
        <v>0</v>
      </c>
      <c r="DY176" s="314">
        <v>8191</v>
      </c>
      <c r="DZ176" s="314">
        <v>0</v>
      </c>
      <c r="EA176" s="314">
        <v>8191</v>
      </c>
      <c r="EB176" s="314">
        <v>0</v>
      </c>
      <c r="EC176" s="317">
        <v>0</v>
      </c>
      <c r="ED176" s="317">
        <v>0</v>
      </c>
      <c r="EE176" s="317">
        <v>0</v>
      </c>
      <c r="EF176" s="317">
        <v>0</v>
      </c>
      <c r="EG176" s="317">
        <v>0</v>
      </c>
      <c r="EH176" s="317">
        <v>0</v>
      </c>
      <c r="EI176" s="317">
        <v>0</v>
      </c>
      <c r="EJ176" s="317">
        <v>1</v>
      </c>
      <c r="EK176" s="317">
        <v>0</v>
      </c>
      <c r="EL176" s="317">
        <v>0</v>
      </c>
      <c r="EM176" s="317">
        <v>0</v>
      </c>
      <c r="EN176" s="317">
        <v>0</v>
      </c>
      <c r="EO176" s="317">
        <v>1</v>
      </c>
      <c r="EP176" s="317">
        <v>0</v>
      </c>
      <c r="EQ176" s="317">
        <v>1</v>
      </c>
      <c r="ER176" s="317">
        <v>0</v>
      </c>
      <c r="ES176" s="317">
        <v>1</v>
      </c>
      <c r="ET176" s="317">
        <v>0</v>
      </c>
    </row>
    <row r="177" spans="1:150" x14ac:dyDescent="0.25">
      <c r="A177" s="310">
        <v>8503</v>
      </c>
      <c r="B177" s="310">
        <v>2023</v>
      </c>
      <c r="C177" s="310" t="s">
        <v>10</v>
      </c>
      <c r="D177" s="310" t="s">
        <v>1042</v>
      </c>
      <c r="E177" s="310">
        <v>63728</v>
      </c>
      <c r="F177" s="310" t="s">
        <v>844</v>
      </c>
      <c r="G177" s="310">
        <v>10378</v>
      </c>
      <c r="H177" s="310" t="s">
        <v>1043</v>
      </c>
      <c r="I177" s="310">
        <v>63420</v>
      </c>
      <c r="J177" s="310" t="s">
        <v>729</v>
      </c>
      <c r="K177" s="310" t="s">
        <v>760</v>
      </c>
      <c r="L177" s="310" t="s">
        <v>761</v>
      </c>
      <c r="M177" s="310" t="s">
        <v>732</v>
      </c>
      <c r="N177" s="310" t="s">
        <v>733</v>
      </c>
      <c r="O177" s="310" t="s">
        <v>734</v>
      </c>
      <c r="P177" s="310"/>
      <c r="Q177" s="310" t="s">
        <v>735</v>
      </c>
      <c r="R177" s="310" t="s">
        <v>860</v>
      </c>
      <c r="S177" s="310" t="s">
        <v>861</v>
      </c>
      <c r="T177" s="310">
        <v>36.44</v>
      </c>
      <c r="U177" s="310">
        <v>-105.62</v>
      </c>
      <c r="V177" s="310"/>
      <c r="W177" s="311">
        <v>2</v>
      </c>
      <c r="X177" s="311">
        <v>2</v>
      </c>
      <c r="Y177" s="310" t="s">
        <v>826</v>
      </c>
      <c r="Z177" s="310" t="s">
        <v>827</v>
      </c>
      <c r="AA177" s="310"/>
      <c r="AB177" s="312">
        <v>0.16125</v>
      </c>
      <c r="AC177" s="313">
        <v>27.5</v>
      </c>
      <c r="AD177" s="312"/>
      <c r="AE177" s="310"/>
      <c r="AF177" s="310"/>
      <c r="AG177" s="311"/>
      <c r="AH177" s="311"/>
      <c r="AI177" s="312"/>
      <c r="AJ177" s="310"/>
      <c r="AK177" s="314"/>
      <c r="AL177" s="314"/>
      <c r="AM177" s="314">
        <v>136696</v>
      </c>
      <c r="AN177" s="314">
        <v>68902</v>
      </c>
      <c r="AO177" s="314">
        <v>38845</v>
      </c>
      <c r="AP177" s="314">
        <v>19667</v>
      </c>
      <c r="AQ177" s="314"/>
      <c r="AR177" s="314"/>
      <c r="AS177" s="314"/>
      <c r="AT177" s="314"/>
      <c r="AU177" s="314"/>
      <c r="AV177" s="314"/>
      <c r="AW177" s="314"/>
      <c r="AX177" s="314"/>
      <c r="AY177" s="315"/>
      <c r="AZ177" s="315"/>
      <c r="BA177" s="315"/>
      <c r="BB177" s="315"/>
      <c r="BC177" s="315"/>
      <c r="BD177" s="315"/>
      <c r="BE177" s="315"/>
      <c r="BF177" s="315"/>
      <c r="BG177" s="315"/>
      <c r="BH177" s="315"/>
      <c r="BI177" s="315"/>
      <c r="BJ177" s="315"/>
      <c r="BK177" s="315"/>
      <c r="BL177" s="315"/>
      <c r="BM177" s="315"/>
      <c r="BN177" s="315"/>
      <c r="BO177" s="315"/>
      <c r="BP177" s="315"/>
      <c r="BQ177" s="315"/>
      <c r="BR177" s="315"/>
      <c r="BS177" s="315"/>
      <c r="BT177" s="315"/>
      <c r="BU177" s="315"/>
      <c r="BV177" s="315"/>
      <c r="BW177" s="311"/>
      <c r="BX177" s="311"/>
      <c r="BY177" s="311"/>
      <c r="BZ177" s="311"/>
      <c r="CA177" s="311"/>
      <c r="CB177" s="311"/>
      <c r="CC177" s="311"/>
      <c r="CD177" s="311"/>
      <c r="CE177" s="311"/>
      <c r="CF177" s="311"/>
      <c r="CG177" s="311"/>
      <c r="CH177" s="310">
        <v>136696</v>
      </c>
      <c r="CI177" s="310">
        <v>68902</v>
      </c>
      <c r="CJ177" s="310"/>
      <c r="CK177" s="310"/>
      <c r="CL177" s="310"/>
      <c r="CM177" s="310"/>
      <c r="CN177" s="310"/>
      <c r="CO177" s="310"/>
      <c r="CP177" s="310"/>
      <c r="CQ177" s="311" t="s">
        <v>744</v>
      </c>
      <c r="CR177" s="311" t="s">
        <v>742</v>
      </c>
      <c r="CS177" s="311" t="s">
        <v>742</v>
      </c>
      <c r="CT177" s="311"/>
      <c r="CU177" s="311"/>
      <c r="CV177" s="311"/>
      <c r="CW177" s="311"/>
      <c r="CX177" s="311"/>
      <c r="CY177" s="311"/>
      <c r="CZ177" s="311"/>
      <c r="DA177" s="311"/>
      <c r="DB177" s="311"/>
      <c r="DC177" s="311"/>
      <c r="DD177" s="311"/>
      <c r="DE177" s="316"/>
      <c r="DF177" s="314"/>
      <c r="DG177" s="314"/>
      <c r="DH177" s="314"/>
      <c r="DI177" s="314"/>
      <c r="DJ177" s="314"/>
      <c r="DK177" s="314">
        <v>0</v>
      </c>
      <c r="DL177" s="314">
        <v>0</v>
      </c>
      <c r="DM177" s="314">
        <v>0</v>
      </c>
      <c r="DN177" s="314">
        <v>0</v>
      </c>
      <c r="DO177" s="314">
        <v>0</v>
      </c>
      <c r="DP177" s="314">
        <v>0</v>
      </c>
      <c r="DQ177" s="314">
        <v>0</v>
      </c>
      <c r="DR177" s="314">
        <v>40063</v>
      </c>
      <c r="DS177" s="314">
        <v>0</v>
      </c>
      <c r="DT177" s="314">
        <v>0</v>
      </c>
      <c r="DU177" s="314">
        <v>-1218</v>
      </c>
      <c r="DV177" s="314">
        <v>0</v>
      </c>
      <c r="DW177" s="314">
        <v>40063</v>
      </c>
      <c r="DX177" s="314">
        <v>-1218</v>
      </c>
      <c r="DY177" s="314">
        <v>40063</v>
      </c>
      <c r="DZ177" s="314">
        <v>0</v>
      </c>
      <c r="EA177" s="314">
        <v>40063</v>
      </c>
      <c r="EB177" s="314">
        <v>-1218</v>
      </c>
      <c r="EC177" s="317">
        <v>0</v>
      </c>
      <c r="ED177" s="317">
        <v>0</v>
      </c>
      <c r="EE177" s="317">
        <v>0</v>
      </c>
      <c r="EF177" s="317">
        <v>0</v>
      </c>
      <c r="EG177" s="317">
        <v>0</v>
      </c>
      <c r="EH177" s="317">
        <v>0</v>
      </c>
      <c r="EI177" s="317">
        <v>0</v>
      </c>
      <c r="EJ177" s="317">
        <v>1</v>
      </c>
      <c r="EK177" s="317">
        <v>0</v>
      </c>
      <c r="EL177" s="317">
        <v>0</v>
      </c>
      <c r="EM177" s="317">
        <v>0</v>
      </c>
      <c r="EN177" s="317">
        <v>0</v>
      </c>
      <c r="EO177" s="317">
        <v>1</v>
      </c>
      <c r="EP177" s="317">
        <v>0</v>
      </c>
      <c r="EQ177" s="317">
        <v>1</v>
      </c>
      <c r="ER177" s="317">
        <v>0</v>
      </c>
      <c r="ES177" s="317">
        <v>1</v>
      </c>
      <c r="ET177" s="317">
        <v>0</v>
      </c>
    </row>
    <row r="178" spans="1:150" x14ac:dyDescent="0.25">
      <c r="A178" s="310">
        <v>8504</v>
      </c>
      <c r="B178" s="310">
        <v>2023</v>
      </c>
      <c r="C178" s="310" t="s">
        <v>10</v>
      </c>
      <c r="D178" s="310" t="s">
        <v>1044</v>
      </c>
      <c r="E178" s="310">
        <v>64066</v>
      </c>
      <c r="F178" s="310" t="s">
        <v>759</v>
      </c>
      <c r="G178" s="310">
        <v>15473</v>
      </c>
      <c r="H178" s="310" t="s">
        <v>877</v>
      </c>
      <c r="I178" s="310">
        <v>56545</v>
      </c>
      <c r="J178" s="310" t="s">
        <v>748</v>
      </c>
      <c r="K178" s="310" t="s">
        <v>760</v>
      </c>
      <c r="L178" s="310" t="s">
        <v>761</v>
      </c>
      <c r="M178" s="310" t="s">
        <v>732</v>
      </c>
      <c r="N178" s="310" t="s">
        <v>733</v>
      </c>
      <c r="O178" s="310" t="s">
        <v>734</v>
      </c>
      <c r="P178" s="310"/>
      <c r="Q178" s="310" t="s">
        <v>735</v>
      </c>
      <c r="R178" s="310" t="s">
        <v>896</v>
      </c>
      <c r="S178" s="310" t="s">
        <v>897</v>
      </c>
      <c r="T178" s="310">
        <v>34.36</v>
      </c>
      <c r="U178" s="310">
        <v>-105.44</v>
      </c>
      <c r="V178" s="310"/>
      <c r="W178" s="311">
        <v>1</v>
      </c>
      <c r="X178" s="311">
        <v>1</v>
      </c>
      <c r="Y178" s="310" t="s">
        <v>840</v>
      </c>
      <c r="Z178" s="310" t="s">
        <v>841</v>
      </c>
      <c r="AA178" s="310"/>
      <c r="AB178" s="312">
        <v>0.35136000000000001</v>
      </c>
      <c r="AC178" s="313">
        <v>272</v>
      </c>
      <c r="AD178" s="312"/>
      <c r="AE178" s="310"/>
      <c r="AF178" s="310"/>
      <c r="AG178" s="311"/>
      <c r="AH178" s="311"/>
      <c r="AI178" s="312"/>
      <c r="AJ178" s="310"/>
      <c r="AK178" s="314"/>
      <c r="AL178" s="314"/>
      <c r="AM178" s="314">
        <v>2856483</v>
      </c>
      <c r="AN178" s="314">
        <v>954511</v>
      </c>
      <c r="AO178" s="314">
        <v>837187</v>
      </c>
      <c r="AP178" s="314">
        <v>279751</v>
      </c>
      <c r="AQ178" s="314"/>
      <c r="AR178" s="314"/>
      <c r="AS178" s="314"/>
      <c r="AT178" s="314"/>
      <c r="AU178" s="314"/>
      <c r="AV178" s="314"/>
      <c r="AW178" s="314"/>
      <c r="AX178" s="314"/>
      <c r="AY178" s="315"/>
      <c r="AZ178" s="315"/>
      <c r="BA178" s="315"/>
      <c r="BB178" s="315"/>
      <c r="BC178" s="315"/>
      <c r="BD178" s="315"/>
      <c r="BE178" s="315"/>
      <c r="BF178" s="315"/>
      <c r="BG178" s="315"/>
      <c r="BH178" s="315"/>
      <c r="BI178" s="315"/>
      <c r="BJ178" s="315"/>
      <c r="BK178" s="315"/>
      <c r="BL178" s="315"/>
      <c r="BM178" s="315"/>
      <c r="BN178" s="315"/>
      <c r="BO178" s="315"/>
      <c r="BP178" s="315"/>
      <c r="BQ178" s="315"/>
      <c r="BR178" s="315"/>
      <c r="BS178" s="315"/>
      <c r="BT178" s="315"/>
      <c r="BU178" s="315"/>
      <c r="BV178" s="315"/>
      <c r="BW178" s="311"/>
      <c r="BX178" s="311"/>
      <c r="BY178" s="311"/>
      <c r="BZ178" s="311"/>
      <c r="CA178" s="311"/>
      <c r="CB178" s="311"/>
      <c r="CC178" s="311"/>
      <c r="CD178" s="311"/>
      <c r="CE178" s="311"/>
      <c r="CF178" s="311"/>
      <c r="CG178" s="311"/>
      <c r="CH178" s="310">
        <v>2856483</v>
      </c>
      <c r="CI178" s="310">
        <v>954511</v>
      </c>
      <c r="CJ178" s="310"/>
      <c r="CK178" s="310"/>
      <c r="CL178" s="310"/>
      <c r="CM178" s="310"/>
      <c r="CN178" s="310"/>
      <c r="CO178" s="310"/>
      <c r="CP178" s="310"/>
      <c r="CQ178" s="311" t="s">
        <v>744</v>
      </c>
      <c r="CR178" s="311" t="s">
        <v>742</v>
      </c>
      <c r="CS178" s="311" t="s">
        <v>742</v>
      </c>
      <c r="CT178" s="311"/>
      <c r="CU178" s="311"/>
      <c r="CV178" s="311"/>
      <c r="CW178" s="311"/>
      <c r="CX178" s="311"/>
      <c r="CY178" s="311"/>
      <c r="CZ178" s="311"/>
      <c r="DA178" s="311"/>
      <c r="DB178" s="311"/>
      <c r="DC178" s="311"/>
      <c r="DD178" s="311"/>
      <c r="DE178" s="316"/>
      <c r="DF178" s="314"/>
      <c r="DG178" s="314"/>
      <c r="DH178" s="314"/>
      <c r="DI178" s="314"/>
      <c r="DJ178" s="314"/>
      <c r="DK178" s="314">
        <v>0</v>
      </c>
      <c r="DL178" s="314">
        <v>0</v>
      </c>
      <c r="DM178" s="314">
        <v>0</v>
      </c>
      <c r="DN178" s="314">
        <v>0</v>
      </c>
      <c r="DO178" s="314">
        <v>0</v>
      </c>
      <c r="DP178" s="314">
        <v>0</v>
      </c>
      <c r="DQ178" s="314">
        <v>837187</v>
      </c>
      <c r="DR178" s="314">
        <v>0</v>
      </c>
      <c r="DS178" s="314">
        <v>0</v>
      </c>
      <c r="DT178" s="314">
        <v>0</v>
      </c>
      <c r="DU178" s="314">
        <v>0</v>
      </c>
      <c r="DV178" s="314">
        <v>0</v>
      </c>
      <c r="DW178" s="314">
        <v>837187</v>
      </c>
      <c r="DX178" s="314">
        <v>0</v>
      </c>
      <c r="DY178" s="314">
        <v>837187</v>
      </c>
      <c r="DZ178" s="314">
        <v>0</v>
      </c>
      <c r="EA178" s="314">
        <v>837187</v>
      </c>
      <c r="EB178" s="314">
        <v>0</v>
      </c>
      <c r="EC178" s="317">
        <v>0</v>
      </c>
      <c r="ED178" s="317">
        <v>0</v>
      </c>
      <c r="EE178" s="317">
        <v>0</v>
      </c>
      <c r="EF178" s="317">
        <v>0</v>
      </c>
      <c r="EG178" s="317">
        <v>0</v>
      </c>
      <c r="EH178" s="317">
        <v>0</v>
      </c>
      <c r="EI178" s="317">
        <v>1</v>
      </c>
      <c r="EJ178" s="317">
        <v>0</v>
      </c>
      <c r="EK178" s="317">
        <v>0</v>
      </c>
      <c r="EL178" s="317">
        <v>0</v>
      </c>
      <c r="EM178" s="317">
        <v>0</v>
      </c>
      <c r="EN178" s="317">
        <v>0</v>
      </c>
      <c r="EO178" s="317">
        <v>1</v>
      </c>
      <c r="EP178" s="317">
        <v>0</v>
      </c>
      <c r="EQ178" s="317">
        <v>1</v>
      </c>
      <c r="ER178" s="317">
        <v>0</v>
      </c>
      <c r="ES178" s="317">
        <v>1</v>
      </c>
      <c r="ET178" s="317">
        <v>0</v>
      </c>
    </row>
    <row r="179" spans="1:150" x14ac:dyDescent="0.25">
      <c r="A179" s="310">
        <v>8505</v>
      </c>
      <c r="B179" s="310">
        <v>2023</v>
      </c>
      <c r="C179" s="310" t="s">
        <v>10</v>
      </c>
      <c r="D179" s="310" t="s">
        <v>1045</v>
      </c>
      <c r="E179" s="310">
        <v>57258</v>
      </c>
      <c r="F179" s="310" t="s">
        <v>746</v>
      </c>
      <c r="G179" s="310">
        <v>17718</v>
      </c>
      <c r="H179" s="310" t="s">
        <v>1046</v>
      </c>
      <c r="I179" s="310">
        <v>56630</v>
      </c>
      <c r="J179" s="310" t="s">
        <v>748</v>
      </c>
      <c r="K179" s="310" t="s">
        <v>749</v>
      </c>
      <c r="L179" s="310" t="s">
        <v>750</v>
      </c>
      <c r="M179" s="310" t="s">
        <v>732</v>
      </c>
      <c r="N179" s="310" t="s">
        <v>752</v>
      </c>
      <c r="O179" s="310" t="s">
        <v>753</v>
      </c>
      <c r="P179" s="310"/>
      <c r="Q179" s="310" t="s">
        <v>735</v>
      </c>
      <c r="R179" s="310" t="s">
        <v>880</v>
      </c>
      <c r="S179" s="310" t="s">
        <v>881</v>
      </c>
      <c r="T179" s="310">
        <v>34.36</v>
      </c>
      <c r="U179" s="310">
        <v>-103.0667</v>
      </c>
      <c r="V179" s="310"/>
      <c r="W179" s="311">
        <v>3</v>
      </c>
      <c r="X179" s="311">
        <v>3</v>
      </c>
      <c r="Y179" s="310" t="s">
        <v>840</v>
      </c>
      <c r="Z179" s="310" t="s">
        <v>841</v>
      </c>
      <c r="AA179" s="310"/>
      <c r="AB179" s="312">
        <v>0</v>
      </c>
      <c r="AC179" s="313">
        <v>1.9</v>
      </c>
      <c r="AD179" s="312"/>
      <c r="AE179" s="310"/>
      <c r="AF179" s="310"/>
      <c r="AG179" s="311"/>
      <c r="AH179" s="311"/>
      <c r="AI179" s="312"/>
      <c r="AJ179" s="310"/>
      <c r="AK179" s="314"/>
      <c r="AL179" s="314"/>
      <c r="AM179" s="314"/>
      <c r="AN179" s="314"/>
      <c r="AO179" s="314">
        <v>0</v>
      </c>
      <c r="AP179" s="314">
        <v>0</v>
      </c>
      <c r="AQ179" s="314"/>
      <c r="AR179" s="314"/>
      <c r="AS179" s="314"/>
      <c r="AT179" s="314"/>
      <c r="AU179" s="314"/>
      <c r="AV179" s="314"/>
      <c r="AW179" s="314"/>
      <c r="AX179" s="314"/>
      <c r="AY179" s="315"/>
      <c r="AZ179" s="315"/>
      <c r="BA179" s="315"/>
      <c r="BB179" s="315"/>
      <c r="BC179" s="315"/>
      <c r="BD179" s="315"/>
      <c r="BE179" s="315"/>
      <c r="BF179" s="315"/>
      <c r="BG179" s="315"/>
      <c r="BH179" s="315"/>
      <c r="BI179" s="315"/>
      <c r="BJ179" s="315"/>
      <c r="BK179" s="315"/>
      <c r="BL179" s="315"/>
      <c r="BM179" s="315"/>
      <c r="BN179" s="315"/>
      <c r="BO179" s="315"/>
      <c r="BP179" s="315"/>
      <c r="BQ179" s="315"/>
      <c r="BR179" s="315"/>
      <c r="BS179" s="315"/>
      <c r="BT179" s="315"/>
      <c r="BU179" s="315"/>
      <c r="BV179" s="315"/>
      <c r="BW179" s="311"/>
      <c r="BX179" s="311"/>
      <c r="BY179" s="311"/>
      <c r="BZ179" s="311"/>
      <c r="CA179" s="311"/>
      <c r="CB179" s="311"/>
      <c r="CC179" s="311"/>
      <c r="CD179" s="311"/>
      <c r="CE179" s="311"/>
      <c r="CF179" s="311"/>
      <c r="CG179" s="311"/>
      <c r="CH179" s="310"/>
      <c r="CI179" s="310"/>
      <c r="CJ179" s="310"/>
      <c r="CK179" s="310"/>
      <c r="CL179" s="310"/>
      <c r="CM179" s="310"/>
      <c r="CN179" s="310"/>
      <c r="CO179" s="310"/>
      <c r="CP179" s="310"/>
      <c r="CQ179" s="311" t="s">
        <v>744</v>
      </c>
      <c r="CR179" s="311"/>
      <c r="CS179" s="311"/>
      <c r="CT179" s="311"/>
      <c r="CU179" s="311"/>
      <c r="CV179" s="311"/>
      <c r="CW179" s="311"/>
      <c r="CX179" s="311"/>
      <c r="CY179" s="311"/>
      <c r="CZ179" s="311"/>
      <c r="DA179" s="311"/>
      <c r="DB179" s="311"/>
      <c r="DC179" s="311"/>
      <c r="DD179" s="311"/>
      <c r="DE179" s="316"/>
      <c r="DF179" s="314"/>
      <c r="DG179" s="314"/>
      <c r="DH179" s="314"/>
      <c r="DI179" s="314"/>
      <c r="DJ179" s="314"/>
      <c r="DK179" s="314">
        <v>0</v>
      </c>
      <c r="DL179" s="314">
        <v>0</v>
      </c>
      <c r="DM179" s="314">
        <v>0</v>
      </c>
      <c r="DN179" s="314">
        <v>0</v>
      </c>
      <c r="DO179" s="314">
        <v>0</v>
      </c>
      <c r="DP179" s="314">
        <v>0</v>
      </c>
      <c r="DQ179" s="314">
        <v>0</v>
      </c>
      <c r="DR179" s="314">
        <v>0</v>
      </c>
      <c r="DS179" s="314">
        <v>0</v>
      </c>
      <c r="DT179" s="314">
        <v>0</v>
      </c>
      <c r="DU179" s="314">
        <v>0</v>
      </c>
      <c r="DV179" s="314">
        <v>0</v>
      </c>
      <c r="DW179" s="314">
        <v>0</v>
      </c>
      <c r="DX179" s="314">
        <v>0</v>
      </c>
      <c r="DY179" s="314">
        <v>0</v>
      </c>
      <c r="DZ179" s="314">
        <v>0</v>
      </c>
      <c r="EA179" s="314">
        <v>0</v>
      </c>
      <c r="EB179" s="314">
        <v>0</v>
      </c>
      <c r="EC179" s="317"/>
      <c r="ED179" s="317"/>
      <c r="EE179" s="317"/>
      <c r="EF179" s="317"/>
      <c r="EG179" s="317"/>
      <c r="EH179" s="317"/>
      <c r="EI179" s="317"/>
      <c r="EJ179" s="317"/>
      <c r="EK179" s="317"/>
      <c r="EL179" s="317"/>
      <c r="EM179" s="317"/>
      <c r="EN179" s="317"/>
      <c r="EO179" s="317"/>
      <c r="EP179" s="317"/>
      <c r="EQ179" s="317"/>
      <c r="ER179" s="317"/>
      <c r="ES179" s="317"/>
      <c r="ET179" s="317"/>
    </row>
    <row r="180" spans="1:150" x14ac:dyDescent="0.25">
      <c r="A180" s="310">
        <v>8507</v>
      </c>
      <c r="B180" s="310">
        <v>2023</v>
      </c>
      <c r="C180" s="310" t="s">
        <v>10</v>
      </c>
      <c r="D180" s="310" t="s">
        <v>1047</v>
      </c>
      <c r="E180" s="310">
        <v>62467</v>
      </c>
      <c r="F180" s="310" t="s">
        <v>759</v>
      </c>
      <c r="G180" s="310">
        <v>15473</v>
      </c>
      <c r="H180" s="310" t="s">
        <v>823</v>
      </c>
      <c r="I180" s="310">
        <v>59300</v>
      </c>
      <c r="J180" s="310" t="s">
        <v>729</v>
      </c>
      <c r="K180" s="310" t="s">
        <v>760</v>
      </c>
      <c r="L180" s="310" t="s">
        <v>761</v>
      </c>
      <c r="M180" s="310" t="s">
        <v>732</v>
      </c>
      <c r="N180" s="310" t="s">
        <v>733</v>
      </c>
      <c r="O180" s="310" t="s">
        <v>734</v>
      </c>
      <c r="P180" s="310"/>
      <c r="Q180" s="310" t="s">
        <v>735</v>
      </c>
      <c r="R180" s="310" t="s">
        <v>786</v>
      </c>
      <c r="S180" s="310" t="s">
        <v>787</v>
      </c>
      <c r="T180" s="310">
        <v>34.741</v>
      </c>
      <c r="U180" s="310">
        <v>-106.655</v>
      </c>
      <c r="V180" s="310"/>
      <c r="W180" s="311">
        <v>1</v>
      </c>
      <c r="X180" s="311">
        <v>1</v>
      </c>
      <c r="Y180" s="310" t="s">
        <v>826</v>
      </c>
      <c r="Z180" s="310" t="s">
        <v>827</v>
      </c>
      <c r="AA180" s="310"/>
      <c r="AB180" s="312">
        <v>0.313</v>
      </c>
      <c r="AC180" s="313">
        <v>10</v>
      </c>
      <c r="AD180" s="312"/>
      <c r="AE180" s="310"/>
      <c r="AF180" s="310"/>
      <c r="AG180" s="311"/>
      <c r="AH180" s="311"/>
      <c r="AI180" s="312"/>
      <c r="AJ180" s="310"/>
      <c r="AK180" s="314"/>
      <c r="AL180" s="314"/>
      <c r="AM180" s="314">
        <v>93556</v>
      </c>
      <c r="AN180" s="314">
        <v>47902</v>
      </c>
      <c r="AO180" s="314">
        <v>27419</v>
      </c>
      <c r="AP180" s="314">
        <v>14039</v>
      </c>
      <c r="AQ180" s="314"/>
      <c r="AR180" s="314"/>
      <c r="AS180" s="314"/>
      <c r="AT180" s="314"/>
      <c r="AU180" s="314"/>
      <c r="AV180" s="314"/>
      <c r="AW180" s="314"/>
      <c r="AX180" s="314"/>
      <c r="AY180" s="315"/>
      <c r="AZ180" s="315"/>
      <c r="BA180" s="315"/>
      <c r="BB180" s="315"/>
      <c r="BC180" s="315"/>
      <c r="BD180" s="315"/>
      <c r="BE180" s="315"/>
      <c r="BF180" s="315"/>
      <c r="BG180" s="315"/>
      <c r="BH180" s="315"/>
      <c r="BI180" s="315"/>
      <c r="BJ180" s="315"/>
      <c r="BK180" s="315"/>
      <c r="BL180" s="315"/>
      <c r="BM180" s="315"/>
      <c r="BN180" s="315"/>
      <c r="BO180" s="315"/>
      <c r="BP180" s="315"/>
      <c r="BQ180" s="315"/>
      <c r="BR180" s="315"/>
      <c r="BS180" s="315"/>
      <c r="BT180" s="315"/>
      <c r="BU180" s="315"/>
      <c r="BV180" s="315"/>
      <c r="BW180" s="311"/>
      <c r="BX180" s="311"/>
      <c r="BY180" s="311"/>
      <c r="BZ180" s="311"/>
      <c r="CA180" s="311"/>
      <c r="CB180" s="311"/>
      <c r="CC180" s="311"/>
      <c r="CD180" s="311"/>
      <c r="CE180" s="311"/>
      <c r="CF180" s="311"/>
      <c r="CG180" s="311"/>
      <c r="CH180" s="310">
        <v>93556</v>
      </c>
      <c r="CI180" s="310">
        <v>47902</v>
      </c>
      <c r="CJ180" s="310"/>
      <c r="CK180" s="310"/>
      <c r="CL180" s="310"/>
      <c r="CM180" s="310"/>
      <c r="CN180" s="310"/>
      <c r="CO180" s="310"/>
      <c r="CP180" s="310"/>
      <c r="CQ180" s="311" t="s">
        <v>744</v>
      </c>
      <c r="CR180" s="311" t="s">
        <v>742</v>
      </c>
      <c r="CS180" s="311" t="s">
        <v>742</v>
      </c>
      <c r="CT180" s="311"/>
      <c r="CU180" s="311"/>
      <c r="CV180" s="311"/>
      <c r="CW180" s="311"/>
      <c r="CX180" s="311"/>
      <c r="CY180" s="311"/>
      <c r="CZ180" s="311"/>
      <c r="DA180" s="311"/>
      <c r="DB180" s="311"/>
      <c r="DC180" s="311"/>
      <c r="DD180" s="311"/>
      <c r="DE180" s="316"/>
      <c r="DF180" s="314"/>
      <c r="DG180" s="314"/>
      <c r="DH180" s="314"/>
      <c r="DI180" s="314"/>
      <c r="DJ180" s="314"/>
      <c r="DK180" s="314">
        <v>0</v>
      </c>
      <c r="DL180" s="314">
        <v>0</v>
      </c>
      <c r="DM180" s="314">
        <v>0</v>
      </c>
      <c r="DN180" s="314">
        <v>0</v>
      </c>
      <c r="DO180" s="314">
        <v>0</v>
      </c>
      <c r="DP180" s="314">
        <v>0</v>
      </c>
      <c r="DQ180" s="314">
        <v>0</v>
      </c>
      <c r="DR180" s="314">
        <v>27419</v>
      </c>
      <c r="DS180" s="314">
        <v>0</v>
      </c>
      <c r="DT180" s="314">
        <v>0</v>
      </c>
      <c r="DU180" s="314">
        <v>0</v>
      </c>
      <c r="DV180" s="314">
        <v>0</v>
      </c>
      <c r="DW180" s="314">
        <v>27419</v>
      </c>
      <c r="DX180" s="314">
        <v>0</v>
      </c>
      <c r="DY180" s="314">
        <v>27419</v>
      </c>
      <c r="DZ180" s="314">
        <v>0</v>
      </c>
      <c r="EA180" s="314">
        <v>27419</v>
      </c>
      <c r="EB180" s="314">
        <v>0</v>
      </c>
      <c r="EC180" s="317">
        <v>0</v>
      </c>
      <c r="ED180" s="317">
        <v>0</v>
      </c>
      <c r="EE180" s="317">
        <v>0</v>
      </c>
      <c r="EF180" s="317">
        <v>0</v>
      </c>
      <c r="EG180" s="317">
        <v>0</v>
      </c>
      <c r="EH180" s="317">
        <v>0</v>
      </c>
      <c r="EI180" s="317">
        <v>0</v>
      </c>
      <c r="EJ180" s="317">
        <v>1</v>
      </c>
      <c r="EK180" s="317">
        <v>0</v>
      </c>
      <c r="EL180" s="317">
        <v>0</v>
      </c>
      <c r="EM180" s="317">
        <v>0</v>
      </c>
      <c r="EN180" s="317">
        <v>0</v>
      </c>
      <c r="EO180" s="317">
        <v>1</v>
      </c>
      <c r="EP180" s="317">
        <v>0</v>
      </c>
      <c r="EQ180" s="317">
        <v>1</v>
      </c>
      <c r="ER180" s="317">
        <v>0</v>
      </c>
      <c r="ES180" s="317">
        <v>1</v>
      </c>
      <c r="ET180" s="317">
        <v>0</v>
      </c>
    </row>
    <row r="181" spans="1:150" x14ac:dyDescent="0.25">
      <c r="A181" s="310">
        <v>8508</v>
      </c>
      <c r="B181" s="310">
        <v>2023</v>
      </c>
      <c r="C181" s="310" t="s">
        <v>10</v>
      </c>
      <c r="D181" s="310" t="s">
        <v>1048</v>
      </c>
      <c r="E181" s="310">
        <v>58010</v>
      </c>
      <c r="F181" s="310" t="s">
        <v>758</v>
      </c>
      <c r="G181" s="310">
        <v>5701</v>
      </c>
      <c r="H181" s="310" t="s">
        <v>1049</v>
      </c>
      <c r="I181" s="310">
        <v>57390</v>
      </c>
      <c r="J181" s="310" t="s">
        <v>748</v>
      </c>
      <c r="K181" s="310" t="s">
        <v>769</v>
      </c>
      <c r="L181" s="310" t="s">
        <v>770</v>
      </c>
      <c r="M181" s="310" t="s">
        <v>732</v>
      </c>
      <c r="N181" s="310" t="s">
        <v>733</v>
      </c>
      <c r="O181" s="310" t="s">
        <v>734</v>
      </c>
      <c r="P181" s="310"/>
      <c r="Q181" s="310" t="s">
        <v>735</v>
      </c>
      <c r="R181" s="310" t="s">
        <v>766</v>
      </c>
      <c r="S181" s="310" t="s">
        <v>767</v>
      </c>
      <c r="T181" s="310">
        <v>32.395833000000003</v>
      </c>
      <c r="U181" s="310">
        <v>-106.47722</v>
      </c>
      <c r="V181" s="310"/>
      <c r="W181" s="311">
        <v>2</v>
      </c>
      <c r="X181" s="311">
        <v>2</v>
      </c>
      <c r="Y181" s="310" t="s">
        <v>826</v>
      </c>
      <c r="Z181" s="310" t="s">
        <v>827</v>
      </c>
      <c r="AA181" s="310"/>
      <c r="AB181" s="312"/>
      <c r="AC181" s="313">
        <v>4.0999999999999996</v>
      </c>
      <c r="AD181" s="312"/>
      <c r="AE181" s="310"/>
      <c r="AF181" s="310"/>
      <c r="AG181" s="311"/>
      <c r="AH181" s="311"/>
      <c r="AI181" s="312"/>
      <c r="AJ181" s="310"/>
      <c r="AK181" s="314"/>
      <c r="AL181" s="314"/>
      <c r="AM181" s="314"/>
      <c r="AN181" s="314"/>
      <c r="AO181" s="314"/>
      <c r="AP181" s="314"/>
      <c r="AQ181" s="314"/>
      <c r="AR181" s="314"/>
      <c r="AS181" s="314"/>
      <c r="AT181" s="314"/>
      <c r="AU181" s="314"/>
      <c r="AV181" s="314"/>
      <c r="AW181" s="314"/>
      <c r="AX181" s="314"/>
      <c r="AY181" s="315"/>
      <c r="AZ181" s="315"/>
      <c r="BA181" s="315"/>
      <c r="BB181" s="315"/>
      <c r="BC181" s="315"/>
      <c r="BD181" s="315"/>
      <c r="BE181" s="315"/>
      <c r="BF181" s="315"/>
      <c r="BG181" s="315"/>
      <c r="BH181" s="315"/>
      <c r="BI181" s="315"/>
      <c r="BJ181" s="315"/>
      <c r="BK181" s="315"/>
      <c r="BL181" s="315"/>
      <c r="BM181" s="315"/>
      <c r="BN181" s="315"/>
      <c r="BO181" s="315"/>
      <c r="BP181" s="315"/>
      <c r="BQ181" s="315"/>
      <c r="BR181" s="315"/>
      <c r="BS181" s="315"/>
      <c r="BT181" s="315"/>
      <c r="BU181" s="315"/>
      <c r="BV181" s="315"/>
      <c r="BW181" s="311"/>
      <c r="BX181" s="311"/>
      <c r="BY181" s="311"/>
      <c r="BZ181" s="311"/>
      <c r="CA181" s="311"/>
      <c r="CB181" s="311"/>
      <c r="CC181" s="311"/>
      <c r="CD181" s="311"/>
      <c r="CE181" s="311"/>
      <c r="CF181" s="311"/>
      <c r="CG181" s="311"/>
      <c r="CH181" s="310"/>
      <c r="CI181" s="310"/>
      <c r="CJ181" s="310"/>
      <c r="CK181" s="310"/>
      <c r="CL181" s="310"/>
      <c r="CM181" s="310"/>
      <c r="CN181" s="310"/>
      <c r="CO181" s="310"/>
      <c r="CP181" s="310"/>
      <c r="CQ181" s="311" t="s">
        <v>744</v>
      </c>
      <c r="CR181" s="311"/>
      <c r="CS181" s="311"/>
      <c r="CT181" s="311"/>
      <c r="CU181" s="311"/>
      <c r="CV181" s="311"/>
      <c r="CW181" s="311"/>
      <c r="CX181" s="311"/>
      <c r="CY181" s="311"/>
      <c r="CZ181" s="311"/>
      <c r="DA181" s="311"/>
      <c r="DB181" s="311"/>
      <c r="DC181" s="311"/>
      <c r="DD181" s="311"/>
      <c r="DE181" s="316"/>
      <c r="DF181" s="314"/>
      <c r="DG181" s="314"/>
      <c r="DH181" s="314"/>
      <c r="DI181" s="314"/>
      <c r="DJ181" s="314"/>
      <c r="DK181" s="314"/>
      <c r="DL181" s="314"/>
      <c r="DM181" s="314"/>
      <c r="DN181" s="314"/>
      <c r="DO181" s="314"/>
      <c r="DP181" s="314"/>
      <c r="DQ181" s="314"/>
      <c r="DR181" s="314"/>
      <c r="DS181" s="314"/>
      <c r="DT181" s="314"/>
      <c r="DU181" s="314"/>
      <c r="DV181" s="314"/>
      <c r="DW181" s="314"/>
      <c r="DX181" s="314"/>
      <c r="DY181" s="314"/>
      <c r="DZ181" s="314"/>
      <c r="EA181" s="314"/>
      <c r="EB181" s="314"/>
      <c r="EC181" s="317"/>
      <c r="ED181" s="317"/>
      <c r="EE181" s="317"/>
      <c r="EF181" s="317"/>
      <c r="EG181" s="317"/>
      <c r="EH181" s="317"/>
      <c r="EI181" s="317"/>
      <c r="EJ181" s="317"/>
      <c r="EK181" s="317"/>
      <c r="EL181" s="317"/>
      <c r="EM181" s="317"/>
      <c r="EN181" s="317"/>
      <c r="EO181" s="317"/>
      <c r="EP181" s="317"/>
      <c r="EQ181" s="317"/>
      <c r="ER181" s="317"/>
      <c r="ES181" s="317"/>
      <c r="ET181" s="317"/>
    </row>
    <row r="182" spans="1:150" x14ac:dyDescent="0.25">
      <c r="A182" s="310">
        <v>8509</v>
      </c>
      <c r="B182" s="310">
        <v>2023</v>
      </c>
      <c r="C182" s="310" t="s">
        <v>10</v>
      </c>
      <c r="D182" s="310" t="s">
        <v>1050</v>
      </c>
      <c r="E182" s="310">
        <v>60341</v>
      </c>
      <c r="F182" s="310" t="s">
        <v>1051</v>
      </c>
      <c r="G182" s="310">
        <v>19246</v>
      </c>
      <c r="H182" s="310" t="s">
        <v>1052</v>
      </c>
      <c r="I182" s="310">
        <v>60127</v>
      </c>
      <c r="J182" s="310" t="s">
        <v>748</v>
      </c>
      <c r="K182" s="310" t="s">
        <v>760</v>
      </c>
      <c r="L182" s="310" t="s">
        <v>761</v>
      </c>
      <c r="M182" s="310" t="s">
        <v>732</v>
      </c>
      <c r="N182" s="310" t="s">
        <v>733</v>
      </c>
      <c r="O182" s="310" t="s">
        <v>734</v>
      </c>
      <c r="P182" s="310"/>
      <c r="Q182" s="310" t="s">
        <v>735</v>
      </c>
      <c r="R182" s="310" t="s">
        <v>913</v>
      </c>
      <c r="S182" s="310" t="s">
        <v>914</v>
      </c>
      <c r="T182" s="310">
        <v>33.1526</v>
      </c>
      <c r="U182" s="310">
        <v>-107.249831</v>
      </c>
      <c r="V182" s="310"/>
      <c r="W182" s="311">
        <v>1</v>
      </c>
      <c r="X182" s="311">
        <v>1</v>
      </c>
      <c r="Y182" s="310" t="s">
        <v>826</v>
      </c>
      <c r="Z182" s="310" t="s">
        <v>827</v>
      </c>
      <c r="AA182" s="310"/>
      <c r="AB182" s="312">
        <v>0.21153</v>
      </c>
      <c r="AC182" s="313">
        <v>1</v>
      </c>
      <c r="AD182" s="312"/>
      <c r="AE182" s="310"/>
      <c r="AF182" s="310"/>
      <c r="AG182" s="311"/>
      <c r="AH182" s="311"/>
      <c r="AI182" s="312"/>
      <c r="AJ182" s="310"/>
      <c r="AK182" s="314"/>
      <c r="AL182" s="314"/>
      <c r="AM182" s="314">
        <v>6323</v>
      </c>
      <c r="AN182" s="314">
        <v>3177</v>
      </c>
      <c r="AO182" s="314">
        <v>1853</v>
      </c>
      <c r="AP182" s="314">
        <v>931</v>
      </c>
      <c r="AQ182" s="314"/>
      <c r="AR182" s="314"/>
      <c r="AS182" s="314"/>
      <c r="AT182" s="314"/>
      <c r="AU182" s="314"/>
      <c r="AV182" s="314"/>
      <c r="AW182" s="314"/>
      <c r="AX182" s="314"/>
      <c r="AY182" s="315"/>
      <c r="AZ182" s="315"/>
      <c r="BA182" s="315"/>
      <c r="BB182" s="315"/>
      <c r="BC182" s="315"/>
      <c r="BD182" s="315"/>
      <c r="BE182" s="315"/>
      <c r="BF182" s="315"/>
      <c r="BG182" s="315"/>
      <c r="BH182" s="315"/>
      <c r="BI182" s="315"/>
      <c r="BJ182" s="315"/>
      <c r="BK182" s="315"/>
      <c r="BL182" s="315"/>
      <c r="BM182" s="315"/>
      <c r="BN182" s="315"/>
      <c r="BO182" s="315"/>
      <c r="BP182" s="315"/>
      <c r="BQ182" s="315"/>
      <c r="BR182" s="315"/>
      <c r="BS182" s="315"/>
      <c r="BT182" s="315"/>
      <c r="BU182" s="315"/>
      <c r="BV182" s="315"/>
      <c r="BW182" s="311"/>
      <c r="BX182" s="311"/>
      <c r="BY182" s="311"/>
      <c r="BZ182" s="311"/>
      <c r="CA182" s="311"/>
      <c r="CB182" s="311"/>
      <c r="CC182" s="311"/>
      <c r="CD182" s="311"/>
      <c r="CE182" s="311"/>
      <c r="CF182" s="311"/>
      <c r="CG182" s="311"/>
      <c r="CH182" s="310">
        <v>6323</v>
      </c>
      <c r="CI182" s="310">
        <v>3177</v>
      </c>
      <c r="CJ182" s="310"/>
      <c r="CK182" s="310"/>
      <c r="CL182" s="310"/>
      <c r="CM182" s="310"/>
      <c r="CN182" s="310"/>
      <c r="CO182" s="310"/>
      <c r="CP182" s="310"/>
      <c r="CQ182" s="311" t="s">
        <v>744</v>
      </c>
      <c r="CR182" s="311" t="s">
        <v>742</v>
      </c>
      <c r="CS182" s="311" t="s">
        <v>742</v>
      </c>
      <c r="CT182" s="311"/>
      <c r="CU182" s="311"/>
      <c r="CV182" s="311"/>
      <c r="CW182" s="311"/>
      <c r="CX182" s="311"/>
      <c r="CY182" s="311"/>
      <c r="CZ182" s="311"/>
      <c r="DA182" s="311"/>
      <c r="DB182" s="311"/>
      <c r="DC182" s="311"/>
      <c r="DD182" s="311"/>
      <c r="DE182" s="316"/>
      <c r="DF182" s="314"/>
      <c r="DG182" s="314"/>
      <c r="DH182" s="314"/>
      <c r="DI182" s="314"/>
      <c r="DJ182" s="314"/>
      <c r="DK182" s="314">
        <v>0</v>
      </c>
      <c r="DL182" s="314">
        <v>0</v>
      </c>
      <c r="DM182" s="314">
        <v>0</v>
      </c>
      <c r="DN182" s="314">
        <v>0</v>
      </c>
      <c r="DO182" s="314">
        <v>0</v>
      </c>
      <c r="DP182" s="314">
        <v>0</v>
      </c>
      <c r="DQ182" s="314">
        <v>0</v>
      </c>
      <c r="DR182" s="314">
        <v>1853</v>
      </c>
      <c r="DS182" s="314">
        <v>0</v>
      </c>
      <c r="DT182" s="314">
        <v>0</v>
      </c>
      <c r="DU182" s="314">
        <v>0</v>
      </c>
      <c r="DV182" s="314">
        <v>0</v>
      </c>
      <c r="DW182" s="314">
        <v>1853</v>
      </c>
      <c r="DX182" s="314">
        <v>0</v>
      </c>
      <c r="DY182" s="314">
        <v>1853</v>
      </c>
      <c r="DZ182" s="314">
        <v>0</v>
      </c>
      <c r="EA182" s="314">
        <v>1853</v>
      </c>
      <c r="EB182" s="314">
        <v>0</v>
      </c>
      <c r="EC182" s="317">
        <v>0</v>
      </c>
      <c r="ED182" s="317">
        <v>0</v>
      </c>
      <c r="EE182" s="317">
        <v>0</v>
      </c>
      <c r="EF182" s="317">
        <v>0</v>
      </c>
      <c r="EG182" s="317">
        <v>0</v>
      </c>
      <c r="EH182" s="317">
        <v>0</v>
      </c>
      <c r="EI182" s="317">
        <v>0</v>
      </c>
      <c r="EJ182" s="317">
        <v>1</v>
      </c>
      <c r="EK182" s="317">
        <v>0</v>
      </c>
      <c r="EL182" s="317">
        <v>0</v>
      </c>
      <c r="EM182" s="317">
        <v>0</v>
      </c>
      <c r="EN182" s="317">
        <v>0</v>
      </c>
      <c r="EO182" s="317">
        <v>1</v>
      </c>
      <c r="EP182" s="317">
        <v>0</v>
      </c>
      <c r="EQ182" s="317">
        <v>1</v>
      </c>
      <c r="ER182" s="317">
        <v>0</v>
      </c>
      <c r="ES182" s="317">
        <v>1</v>
      </c>
      <c r="ET182" s="317">
        <v>0</v>
      </c>
    </row>
    <row r="183" spans="1:150" x14ac:dyDescent="0.25">
      <c r="A183" s="310">
        <v>8510</v>
      </c>
      <c r="B183" s="310">
        <v>2023</v>
      </c>
      <c r="C183" s="310" t="s">
        <v>10</v>
      </c>
      <c r="D183" s="310" t="s">
        <v>1053</v>
      </c>
      <c r="E183" s="310">
        <v>57887</v>
      </c>
      <c r="F183" s="310" t="s">
        <v>798</v>
      </c>
      <c r="G183" s="310">
        <v>10817</v>
      </c>
      <c r="H183" s="310" t="s">
        <v>1054</v>
      </c>
      <c r="I183" s="310">
        <v>57257</v>
      </c>
      <c r="J183" s="310" t="s">
        <v>748</v>
      </c>
      <c r="K183" s="310" t="s">
        <v>749</v>
      </c>
      <c r="L183" s="310" t="s">
        <v>750</v>
      </c>
      <c r="M183" s="310" t="s">
        <v>751</v>
      </c>
      <c r="N183" s="310" t="s">
        <v>752</v>
      </c>
      <c r="O183" s="310" t="s">
        <v>753</v>
      </c>
      <c r="P183" s="310"/>
      <c r="Q183" s="310" t="s">
        <v>735</v>
      </c>
      <c r="R183" s="310" t="s">
        <v>754</v>
      </c>
      <c r="S183" s="310" t="s">
        <v>755</v>
      </c>
      <c r="T183" s="310">
        <v>32.952778000000002</v>
      </c>
      <c r="U183" s="310">
        <v>-103.28527800000001</v>
      </c>
      <c r="V183" s="310"/>
      <c r="W183" s="311">
        <v>1</v>
      </c>
      <c r="X183" s="311">
        <v>1</v>
      </c>
      <c r="Y183" s="310" t="s">
        <v>840</v>
      </c>
      <c r="Z183" s="310" t="s">
        <v>841</v>
      </c>
      <c r="AA183" s="310"/>
      <c r="AB183" s="312">
        <v>0.23623</v>
      </c>
      <c r="AC183" s="313">
        <v>27.3</v>
      </c>
      <c r="AD183" s="312"/>
      <c r="AE183" s="310"/>
      <c r="AF183" s="310"/>
      <c r="AG183" s="311"/>
      <c r="AH183" s="311"/>
      <c r="AI183" s="312"/>
      <c r="AJ183" s="310"/>
      <c r="AK183" s="314"/>
      <c r="AL183" s="314"/>
      <c r="AM183" s="314">
        <v>192759</v>
      </c>
      <c r="AN183" s="314">
        <v>75026</v>
      </c>
      <c r="AO183" s="314">
        <v>56495</v>
      </c>
      <c r="AP183" s="314">
        <v>21989</v>
      </c>
      <c r="AQ183" s="314"/>
      <c r="AR183" s="314"/>
      <c r="AS183" s="314"/>
      <c r="AT183" s="314"/>
      <c r="AU183" s="314"/>
      <c r="AV183" s="314"/>
      <c r="AW183" s="314"/>
      <c r="AX183" s="314"/>
      <c r="AY183" s="315"/>
      <c r="AZ183" s="315"/>
      <c r="BA183" s="315"/>
      <c r="BB183" s="315"/>
      <c r="BC183" s="315"/>
      <c r="BD183" s="315"/>
      <c r="BE183" s="315"/>
      <c r="BF183" s="315"/>
      <c r="BG183" s="315"/>
      <c r="BH183" s="315"/>
      <c r="BI183" s="315"/>
      <c r="BJ183" s="315"/>
      <c r="BK183" s="315"/>
      <c r="BL183" s="315"/>
      <c r="BM183" s="315"/>
      <c r="BN183" s="315"/>
      <c r="BO183" s="315"/>
      <c r="BP183" s="315"/>
      <c r="BQ183" s="315"/>
      <c r="BR183" s="315"/>
      <c r="BS183" s="315"/>
      <c r="BT183" s="315"/>
      <c r="BU183" s="315"/>
      <c r="BV183" s="315"/>
      <c r="BW183" s="311"/>
      <c r="BX183" s="311"/>
      <c r="BY183" s="311"/>
      <c r="BZ183" s="311"/>
      <c r="CA183" s="311"/>
      <c r="CB183" s="311"/>
      <c r="CC183" s="311"/>
      <c r="CD183" s="311"/>
      <c r="CE183" s="311"/>
      <c r="CF183" s="311"/>
      <c r="CG183" s="311"/>
      <c r="CH183" s="310">
        <v>192759</v>
      </c>
      <c r="CI183" s="310">
        <v>75026</v>
      </c>
      <c r="CJ183" s="310"/>
      <c r="CK183" s="310"/>
      <c r="CL183" s="310"/>
      <c r="CM183" s="310"/>
      <c r="CN183" s="310"/>
      <c r="CO183" s="310"/>
      <c r="CP183" s="310"/>
      <c r="CQ183" s="311" t="s">
        <v>744</v>
      </c>
      <c r="CR183" s="311" t="s">
        <v>742</v>
      </c>
      <c r="CS183" s="311" t="s">
        <v>742</v>
      </c>
      <c r="CT183" s="311"/>
      <c r="CU183" s="311"/>
      <c r="CV183" s="311"/>
      <c r="CW183" s="311"/>
      <c r="CX183" s="311"/>
      <c r="CY183" s="311"/>
      <c r="CZ183" s="311"/>
      <c r="DA183" s="311"/>
      <c r="DB183" s="311"/>
      <c r="DC183" s="311"/>
      <c r="DD183" s="311"/>
      <c r="DE183" s="316"/>
      <c r="DF183" s="314"/>
      <c r="DG183" s="314"/>
      <c r="DH183" s="314"/>
      <c r="DI183" s="314"/>
      <c r="DJ183" s="314"/>
      <c r="DK183" s="314">
        <v>0</v>
      </c>
      <c r="DL183" s="314">
        <v>0</v>
      </c>
      <c r="DM183" s="314">
        <v>0</v>
      </c>
      <c r="DN183" s="314">
        <v>0</v>
      </c>
      <c r="DO183" s="314">
        <v>0</v>
      </c>
      <c r="DP183" s="314">
        <v>0</v>
      </c>
      <c r="DQ183" s="314">
        <v>56495</v>
      </c>
      <c r="DR183" s="314">
        <v>0</v>
      </c>
      <c r="DS183" s="314">
        <v>0</v>
      </c>
      <c r="DT183" s="314">
        <v>0</v>
      </c>
      <c r="DU183" s="314">
        <v>0</v>
      </c>
      <c r="DV183" s="314">
        <v>0</v>
      </c>
      <c r="DW183" s="314">
        <v>56495</v>
      </c>
      <c r="DX183" s="314">
        <v>0</v>
      </c>
      <c r="DY183" s="314">
        <v>56495</v>
      </c>
      <c r="DZ183" s="314">
        <v>0</v>
      </c>
      <c r="EA183" s="314">
        <v>56495</v>
      </c>
      <c r="EB183" s="314">
        <v>0</v>
      </c>
      <c r="EC183" s="317">
        <v>0</v>
      </c>
      <c r="ED183" s="317">
        <v>0</v>
      </c>
      <c r="EE183" s="317">
        <v>0</v>
      </c>
      <c r="EF183" s="317">
        <v>0</v>
      </c>
      <c r="EG183" s="317">
        <v>0</v>
      </c>
      <c r="EH183" s="317">
        <v>0</v>
      </c>
      <c r="EI183" s="317">
        <v>1</v>
      </c>
      <c r="EJ183" s="317">
        <v>0</v>
      </c>
      <c r="EK183" s="317">
        <v>0</v>
      </c>
      <c r="EL183" s="317">
        <v>0</v>
      </c>
      <c r="EM183" s="317">
        <v>0</v>
      </c>
      <c r="EN183" s="317">
        <v>0</v>
      </c>
      <c r="EO183" s="317">
        <v>1</v>
      </c>
      <c r="EP183" s="317">
        <v>0</v>
      </c>
      <c r="EQ183" s="317">
        <v>1</v>
      </c>
      <c r="ER183" s="317">
        <v>0</v>
      </c>
      <c r="ES183" s="317">
        <v>1</v>
      </c>
      <c r="ET183" s="317">
        <v>0</v>
      </c>
    </row>
  </sheetData>
  <autoFilter ref="A43:ET183" xr:uid="{2253E64D-A8E0-4686-A1E0-704D2B5469EC}">
    <sortState xmlns:xlrd2="http://schemas.microsoft.com/office/spreadsheetml/2017/richdata2" ref="A44:ET183">
      <sortCondition descending="1" ref="AX43:AX183"/>
    </sortState>
  </autoFilter>
  <hyperlinks>
    <hyperlink ref="A40" r:id="rId1" xr:uid="{F34600D8-5501-435F-A520-2DD67F4362E9}"/>
  </hyperlinks>
  <pageMargins left="0.7" right="0.7" top="0.75" bottom="0.75" header="0.3" footer="0.3"/>
  <pageSetup orientation="portrait" r:id="rId2"/>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53A40-ECCE-4DE5-84D5-EB1DFF44F73E}">
  <sheetPr>
    <tabColor rgb="FF033248"/>
  </sheetPr>
  <dimension ref="A1:AQ67"/>
  <sheetViews>
    <sheetView tabSelected="1" topLeftCell="A19" zoomScaleNormal="100" workbookViewId="0">
      <selection activeCell="AL55" sqref="AL55"/>
    </sheetView>
  </sheetViews>
  <sheetFormatPr defaultColWidth="9.140625" defaultRowHeight="15" x14ac:dyDescent="0.25"/>
  <cols>
    <col min="1" max="1" width="9.140625" style="222"/>
    <col min="2" max="2" width="29.42578125" style="222" customWidth="1"/>
    <col min="3" max="3" width="13.5703125" style="222" customWidth="1"/>
    <col min="4" max="4" width="9.140625" style="222" customWidth="1"/>
    <col min="5" max="7" width="9.140625" style="222"/>
    <col min="8" max="8" width="9.140625" style="222" customWidth="1"/>
    <col min="9" max="18" width="9.140625" style="222"/>
    <col min="19" max="20" width="9.140625" style="222" customWidth="1"/>
    <col min="21" max="36" width="9.140625" style="222"/>
    <col min="37" max="37" width="11.28515625" style="222" customWidth="1"/>
    <col min="38" max="38" width="11.42578125" style="222" customWidth="1"/>
    <col min="39" max="43" width="16.5703125" style="222" customWidth="1"/>
    <col min="44" max="16384" width="9.140625" style="222"/>
  </cols>
  <sheetData>
    <row r="1" spans="1:40" ht="18.75" x14ac:dyDescent="0.3">
      <c r="A1" s="278" t="s">
        <v>525</v>
      </c>
    </row>
    <row r="3" spans="1:40" ht="29.1" customHeight="1" thickBot="1" x14ac:dyDescent="0.3">
      <c r="B3" s="223"/>
      <c r="C3" s="223"/>
      <c r="D3" s="427" t="s">
        <v>1055</v>
      </c>
      <c r="E3" s="428"/>
      <c r="F3" s="428"/>
      <c r="G3" s="428"/>
      <c r="H3" s="428"/>
      <c r="I3" s="428"/>
      <c r="J3" s="428"/>
      <c r="K3" s="428"/>
      <c r="L3" s="428"/>
      <c r="M3" s="428"/>
      <c r="N3" s="428"/>
      <c r="O3" s="428"/>
      <c r="P3" s="428"/>
      <c r="Q3" s="428"/>
      <c r="R3" s="428"/>
      <c r="S3" s="428"/>
      <c r="T3" s="428"/>
      <c r="U3" s="428"/>
      <c r="V3" s="428"/>
      <c r="W3" s="428"/>
      <c r="X3" s="428"/>
      <c r="Y3" s="428"/>
      <c r="Z3" s="428"/>
      <c r="AA3" s="428"/>
      <c r="AB3" s="428"/>
      <c r="AC3" s="428"/>
      <c r="AD3" s="428"/>
      <c r="AE3" s="428"/>
      <c r="AF3" s="428"/>
      <c r="AG3" s="428"/>
      <c r="AH3" s="428"/>
      <c r="AI3" s="428"/>
      <c r="AJ3" s="428"/>
      <c r="AK3" s="429"/>
    </row>
    <row r="4" spans="1:40" ht="29.1" customHeight="1" thickBot="1" x14ac:dyDescent="0.3">
      <c r="B4" s="224" t="s">
        <v>341</v>
      </c>
      <c r="C4" s="224" t="s">
        <v>576</v>
      </c>
      <c r="D4" s="225">
        <v>1990</v>
      </c>
      <c r="E4" s="225">
        <v>1991</v>
      </c>
      <c r="F4" s="225">
        <v>1992</v>
      </c>
      <c r="G4" s="225">
        <v>1993</v>
      </c>
      <c r="H4" s="225">
        <v>1994</v>
      </c>
      <c r="I4" s="225">
        <v>1995</v>
      </c>
      <c r="J4" s="225">
        <v>1996</v>
      </c>
      <c r="K4" s="225">
        <v>1997</v>
      </c>
      <c r="L4" s="225">
        <v>1998</v>
      </c>
      <c r="M4" s="225">
        <v>1999</v>
      </c>
      <c r="N4" s="225">
        <v>2000</v>
      </c>
      <c r="O4" s="225">
        <v>2001</v>
      </c>
      <c r="P4" s="225">
        <v>2002</v>
      </c>
      <c r="Q4" s="225">
        <v>2003</v>
      </c>
      <c r="R4" s="225">
        <v>2004</v>
      </c>
      <c r="S4" s="225">
        <v>2005</v>
      </c>
      <c r="T4" s="225">
        <v>2006</v>
      </c>
      <c r="U4" s="225">
        <v>2007</v>
      </c>
      <c r="V4" s="225">
        <v>2008</v>
      </c>
      <c r="W4" s="225">
        <v>2009</v>
      </c>
      <c r="X4" s="225">
        <v>2010</v>
      </c>
      <c r="Y4" s="225">
        <v>2011</v>
      </c>
      <c r="Z4" s="225">
        <v>2012</v>
      </c>
      <c r="AA4" s="225">
        <v>2013</v>
      </c>
      <c r="AB4" s="225">
        <v>2014</v>
      </c>
      <c r="AC4" s="225">
        <v>2015</v>
      </c>
      <c r="AD4" s="225">
        <v>2016</v>
      </c>
      <c r="AE4" s="225">
        <v>2017</v>
      </c>
      <c r="AF4" s="225">
        <v>2018</v>
      </c>
      <c r="AG4" s="225">
        <v>2019</v>
      </c>
      <c r="AH4" s="225">
        <v>2020</v>
      </c>
      <c r="AI4" s="225">
        <v>2021</v>
      </c>
      <c r="AJ4" s="225">
        <v>2022</v>
      </c>
      <c r="AK4" s="225">
        <v>2023</v>
      </c>
    </row>
    <row r="5" spans="1:40" ht="15.75" x14ac:dyDescent="0.25">
      <c r="B5" s="226" t="s">
        <v>1056</v>
      </c>
      <c r="C5" s="227" t="s">
        <v>535</v>
      </c>
      <c r="D5" s="228">
        <v>3.3061927235235298</v>
      </c>
      <c r="E5" s="228">
        <v>3.3583531487501923</v>
      </c>
      <c r="F5" s="228">
        <v>3.5195586575683868</v>
      </c>
      <c r="G5" s="228">
        <v>3.8294674693744311</v>
      </c>
      <c r="H5" s="228">
        <v>4.160815427004934</v>
      </c>
      <c r="I5" s="228">
        <v>4.3520097872700632</v>
      </c>
      <c r="J5" s="228">
        <v>4.5919462187710431</v>
      </c>
      <c r="K5" s="228">
        <v>4.6373764327493294</v>
      </c>
      <c r="L5" s="228">
        <v>4.7981818143097525</v>
      </c>
      <c r="M5" s="228">
        <v>4.8583612478670668</v>
      </c>
      <c r="N5" s="228">
        <v>4.9750430751607064</v>
      </c>
      <c r="O5" s="228">
        <v>5.0355330867920456</v>
      </c>
      <c r="P5" s="228">
        <v>5.1638439082960117</v>
      </c>
      <c r="Q5" s="228">
        <v>5.3054805003133989</v>
      </c>
      <c r="R5" s="228">
        <v>5.1153841035909426</v>
      </c>
      <c r="S5" s="228">
        <v>5.1958673538095272</v>
      </c>
      <c r="T5" s="228">
        <v>5.4648974695935042</v>
      </c>
      <c r="U5" s="228">
        <v>5.5825297221957211</v>
      </c>
      <c r="V5" s="228">
        <v>5.6281679775505804</v>
      </c>
      <c r="W5" s="228">
        <v>5.5925822099684304</v>
      </c>
      <c r="X5" s="228">
        <v>5.3587850027328479</v>
      </c>
      <c r="Y5" s="228">
        <v>5.3366395238672011</v>
      </c>
      <c r="Z5" s="228">
        <v>5.1500709923995398</v>
      </c>
      <c r="AA5" s="228">
        <v>4.9180366365173285</v>
      </c>
      <c r="AB5" s="228">
        <v>4.6993229962084033</v>
      </c>
      <c r="AC5" s="228">
        <v>4.6588541266390422</v>
      </c>
      <c r="AD5" s="228">
        <v>4.6783865486419387</v>
      </c>
      <c r="AE5" s="228">
        <v>4.858385275699769</v>
      </c>
      <c r="AF5" s="228">
        <v>5.1322323032714801</v>
      </c>
      <c r="AG5" s="228">
        <v>5.0378685856185434</v>
      </c>
      <c r="AH5" s="228">
        <v>5.0241476350799914</v>
      </c>
      <c r="AI5" s="228">
        <v>4.968712905277842</v>
      </c>
      <c r="AJ5" s="228">
        <v>4.5367170892415949</v>
      </c>
      <c r="AK5" s="228">
        <v>4.4663855900587457</v>
      </c>
      <c r="AM5" s="222" t="s">
        <v>1458</v>
      </c>
    </row>
    <row r="6" spans="1:40" x14ac:dyDescent="0.25">
      <c r="B6" s="229" t="s">
        <v>1057</v>
      </c>
      <c r="C6" s="230" t="s">
        <v>1058</v>
      </c>
      <c r="D6" s="231">
        <v>2.3994540374907101</v>
      </c>
      <c r="E6" s="231">
        <v>2.2949803197409624</v>
      </c>
      <c r="F6" s="231">
        <v>2.3291721412955373</v>
      </c>
      <c r="G6" s="231">
        <v>2.4032699655178686</v>
      </c>
      <c r="H6" s="231">
        <v>2.4449631602535744</v>
      </c>
      <c r="I6" s="231">
        <v>2.5118476812953006</v>
      </c>
      <c r="J6" s="231">
        <v>2.5275336809187889</v>
      </c>
      <c r="K6" s="231">
        <v>2.5277884162160631</v>
      </c>
      <c r="L6" s="231">
        <v>2.4915226951210108</v>
      </c>
      <c r="M6" s="231">
        <v>2.5041341681798728</v>
      </c>
      <c r="N6" s="231">
        <v>2.4167705243254991</v>
      </c>
      <c r="O6" s="231">
        <v>2.303882272495966</v>
      </c>
      <c r="P6" s="231">
        <v>2.2008093012467382</v>
      </c>
      <c r="Q6" s="231">
        <v>2.115303969391868</v>
      </c>
      <c r="R6" s="231">
        <v>2.041135897451873</v>
      </c>
      <c r="S6" s="231">
        <v>2.0827454696785841</v>
      </c>
      <c r="T6" s="231">
        <v>2.1628324358561684</v>
      </c>
      <c r="U6" s="231">
        <v>2.1080566855434113</v>
      </c>
      <c r="V6" s="231">
        <v>2.2636153621474033</v>
      </c>
      <c r="W6" s="231">
        <v>2.0851719559069144</v>
      </c>
      <c r="X6" s="231">
        <v>2.0269337391384723</v>
      </c>
      <c r="Y6" s="231">
        <v>1.9710978459082587</v>
      </c>
      <c r="Z6" s="231">
        <v>1.8104215879775964</v>
      </c>
      <c r="AA6" s="231">
        <v>1.7675119470928269</v>
      </c>
      <c r="AB6" s="231">
        <v>1.5547453607364903</v>
      </c>
      <c r="AC6" s="231">
        <v>1.621101376552158</v>
      </c>
      <c r="AD6" s="231">
        <v>1.7162400259582502</v>
      </c>
      <c r="AE6" s="231">
        <v>1.8109767221846693</v>
      </c>
      <c r="AF6" s="231">
        <v>1.9563614000263578</v>
      </c>
      <c r="AG6" s="231">
        <v>1.8999531988845737</v>
      </c>
      <c r="AH6" s="231">
        <v>1.8310895569214325</v>
      </c>
      <c r="AI6" s="231">
        <v>1.7605724782974461</v>
      </c>
      <c r="AJ6" s="231">
        <v>1.7089467411241788</v>
      </c>
      <c r="AK6" s="231">
        <v>1.6456799835283236</v>
      </c>
      <c r="AM6" s="245" t="s">
        <v>341</v>
      </c>
      <c r="AN6" s="245" t="s">
        <v>1474</v>
      </c>
    </row>
    <row r="7" spans="1:40" x14ac:dyDescent="0.25">
      <c r="B7" s="229" t="s">
        <v>1059</v>
      </c>
      <c r="C7" s="230" t="s">
        <v>1058</v>
      </c>
      <c r="D7" s="231">
        <v>0.71334830339976141</v>
      </c>
      <c r="E7" s="231">
        <v>0.87825664238721024</v>
      </c>
      <c r="F7" s="231">
        <v>1.007784355447658</v>
      </c>
      <c r="G7" s="231">
        <v>1.2524502208613744</v>
      </c>
      <c r="H7" s="231">
        <v>1.5412028926373922</v>
      </c>
      <c r="I7" s="231">
        <v>1.6704363273999112</v>
      </c>
      <c r="J7" s="231">
        <v>1.9049748069829215</v>
      </c>
      <c r="K7" s="231">
        <v>1.9503889289420053</v>
      </c>
      <c r="L7" s="231">
        <v>2.1457714392739362</v>
      </c>
      <c r="M7" s="231">
        <v>2.1958503771100393</v>
      </c>
      <c r="N7" s="231">
        <v>2.4033221603062991</v>
      </c>
      <c r="O7" s="231">
        <v>2.5939205477672624</v>
      </c>
      <c r="P7" s="231">
        <v>2.8371935682959686</v>
      </c>
      <c r="Q7" s="231">
        <v>3.0636642565403438</v>
      </c>
      <c r="R7" s="231">
        <v>2.9555694382083102</v>
      </c>
      <c r="S7" s="231">
        <v>2.998140479056457</v>
      </c>
      <c r="T7" s="231">
        <v>3.1846068646093366</v>
      </c>
      <c r="U7" s="231">
        <v>3.361549559651881</v>
      </c>
      <c r="V7" s="231">
        <v>3.2604916277780203</v>
      </c>
      <c r="W7" s="231">
        <v>3.4089933700334614</v>
      </c>
      <c r="X7" s="231">
        <v>3.2376128322382431</v>
      </c>
      <c r="Y7" s="231">
        <v>3.2785871114236773</v>
      </c>
      <c r="Z7" s="231">
        <v>3.2616693204624969</v>
      </c>
      <c r="AA7" s="231">
        <v>3.0733967184037048</v>
      </c>
      <c r="AB7" s="231">
        <v>3.0709016930271149</v>
      </c>
      <c r="AC7" s="231">
        <v>2.9617214482203593</v>
      </c>
      <c r="AD7" s="231">
        <v>2.8863237205507142</v>
      </c>
      <c r="AE7" s="231">
        <v>2.9707633142130674</v>
      </c>
      <c r="AF7" s="231">
        <v>3.09993356450406</v>
      </c>
      <c r="AG7" s="231">
        <v>3.0624333105897081</v>
      </c>
      <c r="AH7" s="231">
        <v>3.1202482399026881</v>
      </c>
      <c r="AI7" s="231">
        <v>3.1388615983430439</v>
      </c>
      <c r="AJ7" s="231">
        <v>2.7577812043770153</v>
      </c>
      <c r="AK7" s="231">
        <v>2.7516406780536418</v>
      </c>
      <c r="AM7" s="222" t="s">
        <v>1067</v>
      </c>
      <c r="AN7" s="274">
        <f>AK15</f>
        <v>3.2058834469360655</v>
      </c>
    </row>
    <row r="8" spans="1:40" x14ac:dyDescent="0.25">
      <c r="B8" s="229" t="s">
        <v>1060</v>
      </c>
      <c r="C8" s="230" t="s">
        <v>1058</v>
      </c>
      <c r="D8" s="231">
        <v>0.12956991646905647</v>
      </c>
      <c r="E8" s="231">
        <v>0.12135434884853097</v>
      </c>
      <c r="F8" s="231">
        <v>0.11747641850820095</v>
      </c>
      <c r="G8" s="231">
        <v>0.10614239730555962</v>
      </c>
      <c r="H8" s="231">
        <v>0.10348801355462972</v>
      </c>
      <c r="I8" s="231">
        <v>9.8049135492116898E-2</v>
      </c>
      <c r="J8" s="231">
        <v>8.5649021650646778E-2</v>
      </c>
      <c r="K8" s="231">
        <v>8.2552663078813635E-2</v>
      </c>
      <c r="L8" s="231">
        <v>8.0750335035904577E-2</v>
      </c>
      <c r="M8" s="231">
        <v>7.4674706691691961E-2</v>
      </c>
      <c r="N8" s="231">
        <v>7.1292983943299276E-2</v>
      </c>
      <c r="O8" s="231">
        <v>5.7718240091745733E-2</v>
      </c>
      <c r="P8" s="231">
        <v>5.196562247939307E-2</v>
      </c>
      <c r="Q8" s="231">
        <v>5.0540805851875675E-2</v>
      </c>
      <c r="R8" s="231">
        <v>4.4781252596226215E-2</v>
      </c>
      <c r="S8" s="231">
        <v>4.1907611345164041E-2</v>
      </c>
      <c r="T8" s="231">
        <v>4.4814330279641733E-2</v>
      </c>
      <c r="U8" s="231">
        <v>3.7600083779196346E-2</v>
      </c>
      <c r="V8" s="231">
        <v>3.7613955065789947E-2</v>
      </c>
      <c r="W8" s="231">
        <v>3.4720573906883032E-2</v>
      </c>
      <c r="X8" s="231">
        <v>3.4720573906883032E-2</v>
      </c>
      <c r="Y8" s="231">
        <v>3.0380502168522654E-2</v>
      </c>
      <c r="Z8" s="231">
        <v>2.6040430430162274E-2</v>
      </c>
      <c r="AA8" s="231">
        <v>2.6040430430162274E-2</v>
      </c>
      <c r="AB8" s="231">
        <v>2.3436387387146047E-2</v>
      </c>
      <c r="AC8" s="231">
        <v>2.6040430430162274E-2</v>
      </c>
      <c r="AD8" s="231">
        <v>2.6040430430162274E-2</v>
      </c>
      <c r="AE8" s="231">
        <v>2.8065797241397118E-2</v>
      </c>
      <c r="AF8" s="231">
        <v>2.7776459125506428E-2</v>
      </c>
      <c r="AG8" s="231">
        <v>2.8933811589069193E-2</v>
      </c>
      <c r="AH8" s="231">
        <v>2.7487121009615735E-2</v>
      </c>
      <c r="AI8" s="231">
        <v>2.4593739850708816E-2</v>
      </c>
      <c r="AJ8" s="231">
        <v>2.6040430430162274E-2</v>
      </c>
      <c r="AK8" s="231">
        <v>2.637461166966474E-2</v>
      </c>
      <c r="AM8" s="222" t="s">
        <v>1069</v>
      </c>
      <c r="AN8" s="274">
        <f>AK24</f>
        <v>1.2605021431226806</v>
      </c>
    </row>
    <row r="9" spans="1:40" x14ac:dyDescent="0.25">
      <c r="B9" s="229" t="s">
        <v>1061</v>
      </c>
      <c r="C9" s="230" t="s">
        <v>1058</v>
      </c>
      <c r="D9" s="231">
        <v>2.7005021389490111E-2</v>
      </c>
      <c r="E9" s="231">
        <v>2.5768853525897813E-2</v>
      </c>
      <c r="F9" s="231">
        <v>2.4532685662305511E-2</v>
      </c>
      <c r="G9" s="231">
        <v>2.5291937642904314E-2</v>
      </c>
      <c r="H9" s="231">
        <v>2.6051189623503106E-2</v>
      </c>
      <c r="I9" s="231">
        <v>2.6810441604101901E-2</v>
      </c>
      <c r="J9" s="231">
        <v>2.75696935847007E-2</v>
      </c>
      <c r="K9" s="231">
        <v>2.8328945565299496E-2</v>
      </c>
      <c r="L9" s="231">
        <v>2.8192159410629147E-2</v>
      </c>
      <c r="M9" s="231">
        <v>2.7928364027128838E-2</v>
      </c>
      <c r="N9" s="231">
        <v>2.7665807130378351E-2</v>
      </c>
      <c r="O9" s="231">
        <v>2.7404488720377672E-2</v>
      </c>
      <c r="P9" s="231">
        <v>2.7144408797126811E-2</v>
      </c>
      <c r="Q9" s="231">
        <v>2.7821396925196466E-2</v>
      </c>
      <c r="R9" s="231">
        <v>2.849095413276723E-2</v>
      </c>
      <c r="S9" s="231">
        <v>2.9153080419839113E-2</v>
      </c>
      <c r="T9" s="231">
        <v>2.9807775786412111E-2</v>
      </c>
      <c r="U9" s="231">
        <v>3.0455040232486224E-2</v>
      </c>
      <c r="V9" s="231">
        <v>2.9984205255369045E-2</v>
      </c>
      <c r="W9" s="231">
        <v>2.9657099078204314E-2</v>
      </c>
      <c r="X9" s="231">
        <v>2.9329992901039596E-2</v>
      </c>
      <c r="Y9" s="231">
        <v>2.9002886723874858E-2</v>
      </c>
      <c r="Z9" s="231">
        <v>2.867578054671014E-2</v>
      </c>
      <c r="AA9" s="231">
        <v>2.7843938118296427E-2</v>
      </c>
      <c r="AB9" s="231">
        <v>2.7012095689882706E-2</v>
      </c>
      <c r="AC9" s="231">
        <v>2.6180253261468989E-2</v>
      </c>
      <c r="AD9" s="231">
        <v>2.5348410833055241E-2</v>
      </c>
      <c r="AE9" s="231">
        <v>2.4516568404641521E-2</v>
      </c>
      <c r="AF9" s="231">
        <v>2.3684725976227804E-2</v>
      </c>
      <c r="AG9" s="231">
        <v>2.285288354781409E-2</v>
      </c>
      <c r="AH9" s="231">
        <v>2.2021041119400373E-2</v>
      </c>
      <c r="AI9" s="231">
        <v>2.1189198690986621E-2</v>
      </c>
      <c r="AJ9" s="231">
        <v>2.0357356262572904E-2</v>
      </c>
      <c r="AK9" s="231">
        <v>1.8837235983467253E-2</v>
      </c>
      <c r="AM9" s="222" t="s">
        <v>1072</v>
      </c>
      <c r="AN9" s="274">
        <f>AK55</f>
        <v>5.5953070483188769</v>
      </c>
    </row>
    <row r="10" spans="1:40" x14ac:dyDescent="0.25">
      <c r="B10" s="229" t="s">
        <v>1062</v>
      </c>
      <c r="C10" s="230" t="s">
        <v>1058</v>
      </c>
      <c r="D10" s="231">
        <v>1.8487209397914938E-2</v>
      </c>
      <c r="E10" s="231">
        <v>1.8487209397914938E-2</v>
      </c>
      <c r="F10" s="231">
        <v>1.8487209397914938E-2</v>
      </c>
      <c r="G10" s="231">
        <v>1.7361048863052852E-2</v>
      </c>
      <c r="H10" s="231">
        <v>1.6234888328190762E-2</v>
      </c>
      <c r="I10" s="231">
        <v>1.5108727793328678E-2</v>
      </c>
      <c r="J10" s="231">
        <v>1.3982567258466591E-2</v>
      </c>
      <c r="K10" s="231">
        <v>1.2856406723604505E-2</v>
      </c>
      <c r="L10" s="231">
        <v>1.1292900757168609E-2</v>
      </c>
      <c r="M10" s="231">
        <v>9.7293947907327108E-3</v>
      </c>
      <c r="N10" s="231">
        <v>8.1658888242968179E-3</v>
      </c>
      <c r="O10" s="231">
        <v>6.6023828578609216E-3</v>
      </c>
      <c r="P10" s="231">
        <v>5.0388768914250261E-3</v>
      </c>
      <c r="Q10" s="231">
        <v>5.9101431728292046E-3</v>
      </c>
      <c r="R10" s="231">
        <v>6.7814094542333831E-3</v>
      </c>
      <c r="S10" s="231">
        <v>7.6526757356375616E-3</v>
      </c>
      <c r="T10" s="231">
        <v>8.5239420170417392E-3</v>
      </c>
      <c r="U10" s="231">
        <v>9.3952082984459194E-3</v>
      </c>
      <c r="V10" s="231">
        <v>9.1484276694263154E-3</v>
      </c>
      <c r="W10" s="231">
        <v>8.9016470404067131E-3</v>
      </c>
      <c r="X10" s="231">
        <v>8.654866411387109E-3</v>
      </c>
      <c r="Y10" s="231">
        <v>8.4080857823675085E-3</v>
      </c>
      <c r="Z10" s="231">
        <v>8.1613051533479045E-3</v>
      </c>
      <c r="AA10" s="231">
        <v>8.3726808757276332E-3</v>
      </c>
      <c r="AB10" s="231">
        <v>8.5840565981073601E-3</v>
      </c>
      <c r="AC10" s="231">
        <v>8.7954323204870889E-3</v>
      </c>
      <c r="AD10" s="231">
        <v>9.0068080428668158E-3</v>
      </c>
      <c r="AE10" s="231">
        <v>9.2181837652465463E-3</v>
      </c>
      <c r="AF10" s="231">
        <v>9.4295594876262732E-3</v>
      </c>
      <c r="AG10" s="231">
        <v>9.6409352100059985E-3</v>
      </c>
      <c r="AH10" s="231">
        <v>9.8523109323857307E-3</v>
      </c>
      <c r="AI10" s="231">
        <v>1.0063686654765454E-2</v>
      </c>
      <c r="AJ10" s="231">
        <v>1.0275062377145186E-2</v>
      </c>
      <c r="AK10" s="231">
        <v>1.0332159095277694E-2</v>
      </c>
      <c r="AM10" s="222" t="s">
        <v>1078</v>
      </c>
      <c r="AN10" s="274">
        <f>AK60</f>
        <v>6.8938586437748989E-3</v>
      </c>
    </row>
    <row r="11" spans="1:40" x14ac:dyDescent="0.25">
      <c r="B11" s="229" t="s">
        <v>1063</v>
      </c>
      <c r="C11" s="230" t="s">
        <v>1058</v>
      </c>
      <c r="D11" s="231">
        <v>1.2605266081707023E-3</v>
      </c>
      <c r="E11" s="231">
        <v>1.1187764515865146E-3</v>
      </c>
      <c r="F11" s="231">
        <v>1.0781012956331251E-3</v>
      </c>
      <c r="G11" s="231">
        <v>1.1763940626710885E-3</v>
      </c>
      <c r="H11" s="231">
        <v>1.1699643382195614E-3</v>
      </c>
      <c r="I11" s="231">
        <v>2.386937637844153E-4</v>
      </c>
      <c r="J11" s="231">
        <v>2.9255311809102738E-4</v>
      </c>
      <c r="K11" s="231">
        <v>3.9683658654341222E-4</v>
      </c>
      <c r="L11" s="231">
        <v>5.5334982503208374E-4</v>
      </c>
      <c r="M11" s="231">
        <v>6.1507209886474531E-4</v>
      </c>
      <c r="N11" s="231">
        <v>3.2403689997745073E-4</v>
      </c>
      <c r="O11" s="231">
        <v>3.9072980922232286E-4</v>
      </c>
      <c r="P11" s="231">
        <v>4.1693440679810333E-4</v>
      </c>
      <c r="Q11" s="231">
        <v>3.8200081322136326E-4</v>
      </c>
      <c r="R11" s="231">
        <v>3.9534633908665505E-4</v>
      </c>
      <c r="S11" s="231">
        <v>3.1687850384282617E-4</v>
      </c>
      <c r="T11" s="231">
        <v>3.2551431806069074E-4</v>
      </c>
      <c r="U11" s="231">
        <v>3.3493419526558441E-4</v>
      </c>
      <c r="V11" s="231">
        <v>3.8950835163961629E-4</v>
      </c>
      <c r="W11" s="231">
        <v>3.622594437883982E-4</v>
      </c>
      <c r="X11" s="231">
        <v>3.8119680184032129E-4</v>
      </c>
      <c r="Y11" s="231">
        <v>3.4299778495684849E-4</v>
      </c>
      <c r="Z11" s="231">
        <v>3.7954977104322988E-4</v>
      </c>
      <c r="AA11" s="231">
        <v>3.3725054109751124E-4</v>
      </c>
      <c r="AB11" s="231">
        <v>3.3199786587342049E-4</v>
      </c>
      <c r="AC11" s="231">
        <v>3.6165698849983507E-4</v>
      </c>
      <c r="AD11" s="231">
        <v>3.5816671898283658E-4</v>
      </c>
      <c r="AE11" s="231">
        <v>3.2985245564689744E-4</v>
      </c>
      <c r="AF11" s="231">
        <v>2.9285243464925536E-4</v>
      </c>
      <c r="AG11" s="231">
        <v>4.1119579614087631E-4</v>
      </c>
      <c r="AH11" s="231">
        <v>2.9259863915013243E-4</v>
      </c>
      <c r="AI11" s="231">
        <v>4.1063472125398904E-4</v>
      </c>
      <c r="AJ11" s="231">
        <v>2.9398720544675249E-4</v>
      </c>
      <c r="AK11" s="231">
        <v>2.9975580771434719E-4</v>
      </c>
      <c r="AM11" s="222" t="s">
        <v>1079</v>
      </c>
      <c r="AN11" s="274">
        <f>AK61</f>
        <v>3.2965418752601587E-3</v>
      </c>
    </row>
    <row r="12" spans="1:40" x14ac:dyDescent="0.25">
      <c r="B12" s="229" t="s">
        <v>1064</v>
      </c>
      <c r="C12" s="230" t="s">
        <v>1058</v>
      </c>
      <c r="D12" s="231">
        <v>2.7265343376765682E-3</v>
      </c>
      <c r="E12" s="231">
        <v>3.2946557664862474E-3</v>
      </c>
      <c r="F12" s="231">
        <v>3.8637362114405729E-3</v>
      </c>
      <c r="G12" s="231">
        <v>4.4324616207135148E-3</v>
      </c>
      <c r="H12" s="231">
        <v>5.2635652218183089E-3</v>
      </c>
      <c r="I12" s="231">
        <v>6.0947542224201144E-3</v>
      </c>
      <c r="J12" s="231">
        <v>6.9260149657394358E-3</v>
      </c>
      <c r="K12" s="231">
        <v>7.757201969915974E-3</v>
      </c>
      <c r="L12" s="231">
        <v>8.9214001690590353E-3</v>
      </c>
      <c r="M12" s="231">
        <v>1.0259311723358908E-2</v>
      </c>
      <c r="N12" s="231">
        <v>1.136484197743518E-2</v>
      </c>
      <c r="O12" s="231">
        <v>1.2471809384144163E-2</v>
      </c>
      <c r="P12" s="231">
        <v>1.3579157872297557E-2</v>
      </c>
      <c r="Q12" s="231">
        <v>1.3104139836308627E-2</v>
      </c>
      <c r="R12" s="231">
        <v>1.2627401665922756E-2</v>
      </c>
      <c r="S12" s="231">
        <v>1.2149633262119529E-2</v>
      </c>
      <c r="T12" s="231">
        <v>1.1672646952329018E-2</v>
      </c>
      <c r="U12" s="231">
        <v>1.1195048074910164E-2</v>
      </c>
      <c r="V12" s="231">
        <v>1.1359105398905521E-2</v>
      </c>
      <c r="W12" s="231">
        <v>1.1523162722900878E-2</v>
      </c>
      <c r="X12" s="231">
        <v>1.1687220046896225E-2</v>
      </c>
      <c r="Y12" s="231">
        <v>1.1851277370891582E-2</v>
      </c>
      <c r="Z12" s="231">
        <v>1.201533469488693E-2</v>
      </c>
      <c r="AA12" s="231">
        <v>1.1915595299048851E-2</v>
      </c>
      <c r="AB12" s="231">
        <v>1.1815855903210761E-2</v>
      </c>
      <c r="AC12" s="231">
        <v>1.1716116507372684E-2</v>
      </c>
      <c r="AD12" s="231">
        <v>1.1616377111534595E-2</v>
      </c>
      <c r="AE12" s="231">
        <v>1.1516637715696517E-2</v>
      </c>
      <c r="AF12" s="231">
        <v>1.141689831985843E-2</v>
      </c>
      <c r="AG12" s="231">
        <v>1.131715892402034E-2</v>
      </c>
      <c r="AH12" s="231">
        <v>1.1217419528182263E-2</v>
      </c>
      <c r="AI12" s="231">
        <v>1.1117680132344184E-2</v>
      </c>
      <c r="AJ12" s="231">
        <v>1.1017940736506096E-2</v>
      </c>
      <c r="AK12" s="231">
        <v>1.1194644070943369E-2</v>
      </c>
    </row>
    <row r="13" spans="1:40" x14ac:dyDescent="0.25">
      <c r="B13" s="229" t="s">
        <v>1065</v>
      </c>
      <c r="C13" s="230" t="s">
        <v>1058</v>
      </c>
      <c r="D13" s="231">
        <v>2.2058272045307343E-4</v>
      </c>
      <c r="E13" s="231">
        <v>2.263082282243964E-4</v>
      </c>
      <c r="F13" s="231">
        <v>2.3203373599571935E-4</v>
      </c>
      <c r="G13" s="231">
        <v>2.6879752273789825E-4</v>
      </c>
      <c r="H13" s="231">
        <v>3.0556130948007718E-4</v>
      </c>
      <c r="I13" s="231">
        <v>3.4232509622225606E-4</v>
      </c>
      <c r="J13" s="231">
        <v>3.7908888296443494E-4</v>
      </c>
      <c r="K13" s="231">
        <v>4.1585266970661387E-4</v>
      </c>
      <c r="L13" s="231">
        <v>3.8354875217578129E-4</v>
      </c>
      <c r="M13" s="231">
        <v>3.5124483464494865E-4</v>
      </c>
      <c r="N13" s="231">
        <v>3.1894091711411602E-4</v>
      </c>
      <c r="O13" s="231">
        <v>2.8663699958328339E-4</v>
      </c>
      <c r="P13" s="231">
        <v>2.543330820524508E-4</v>
      </c>
      <c r="Q13" s="231">
        <v>3.1731366753700316E-4</v>
      </c>
      <c r="R13" s="231">
        <v>3.8029425302155557E-4</v>
      </c>
      <c r="S13" s="231">
        <v>4.4327483850610798E-4</v>
      </c>
      <c r="T13" s="231">
        <v>5.0625542399066034E-4</v>
      </c>
      <c r="U13" s="231">
        <v>5.6923600947521281E-4</v>
      </c>
      <c r="V13" s="231">
        <v>5.6748822289238792E-4</v>
      </c>
      <c r="W13" s="231">
        <v>5.6574043630956304E-4</v>
      </c>
      <c r="X13" s="231">
        <v>5.6399264972673815E-4</v>
      </c>
      <c r="Y13" s="231">
        <v>5.6224486314391316E-4</v>
      </c>
      <c r="Z13" s="231">
        <v>5.6049707656108828E-4</v>
      </c>
      <c r="AA13" s="231">
        <v>5.8731656033202205E-4</v>
      </c>
      <c r="AB13" s="231">
        <v>6.1413604410295581E-4</v>
      </c>
      <c r="AC13" s="231">
        <v>6.4095552787388969E-4</v>
      </c>
      <c r="AD13" s="231">
        <v>6.6777501164482346E-4</v>
      </c>
      <c r="AE13" s="231">
        <v>6.9459449541575723E-4</v>
      </c>
      <c r="AF13" s="231">
        <v>7.21413979186691E-4</v>
      </c>
      <c r="AG13" s="231">
        <v>7.4823346295762477E-4</v>
      </c>
      <c r="AH13" s="231">
        <v>7.7505294672855865E-4</v>
      </c>
      <c r="AI13" s="231">
        <v>8.0187243049949241E-4</v>
      </c>
      <c r="AJ13" s="231">
        <v>8.2869191427042618E-4</v>
      </c>
      <c r="AK13" s="231">
        <v>8.4060332675666859E-4</v>
      </c>
    </row>
    <row r="14" spans="1:40" x14ac:dyDescent="0.25">
      <c r="B14" s="229" t="s">
        <v>1066</v>
      </c>
      <c r="C14" s="230" t="s">
        <v>1058</v>
      </c>
      <c r="D14" s="231">
        <v>1.4120591710296693E-2</v>
      </c>
      <c r="E14" s="231">
        <v>1.4866034403378678E-2</v>
      </c>
      <c r="F14" s="231">
        <v>1.6931976013700615E-2</v>
      </c>
      <c r="G14" s="231">
        <v>1.9074245977548955E-2</v>
      </c>
      <c r="H14" s="231">
        <v>2.2136191738126122E-2</v>
      </c>
      <c r="I14" s="231">
        <v>2.3081700602876908E-2</v>
      </c>
      <c r="J14" s="231">
        <v>2.4638791408724544E-2</v>
      </c>
      <c r="K14" s="231">
        <v>2.6891180997376741E-2</v>
      </c>
      <c r="L14" s="231">
        <v>3.0793985964835999E-2</v>
      </c>
      <c r="M14" s="231">
        <v>3.4818608410732657E-2</v>
      </c>
      <c r="N14" s="231">
        <v>3.5817890836407157E-2</v>
      </c>
      <c r="O14" s="231">
        <v>3.2855978665883065E-2</v>
      </c>
      <c r="P14" s="231">
        <v>2.7441705224211826E-2</v>
      </c>
      <c r="Q14" s="231">
        <v>2.8436474114218839E-2</v>
      </c>
      <c r="R14" s="231">
        <v>2.5222109489500981E-2</v>
      </c>
      <c r="S14" s="231">
        <v>2.3358250969376684E-2</v>
      </c>
      <c r="T14" s="231">
        <v>2.1807704350523045E-2</v>
      </c>
      <c r="U14" s="231">
        <v>2.3373926410649001E-2</v>
      </c>
      <c r="V14" s="231">
        <v>1.499829766113457E-2</v>
      </c>
      <c r="W14" s="231">
        <v>1.2686401399561955E-2</v>
      </c>
      <c r="X14" s="231">
        <v>8.9005886383595259E-3</v>
      </c>
      <c r="Y14" s="231">
        <v>6.4065718415075735E-3</v>
      </c>
      <c r="Z14" s="231">
        <v>2.1471862867355937E-3</v>
      </c>
      <c r="AA14" s="231">
        <v>2.0307591961330734E-3</v>
      </c>
      <c r="AB14" s="231">
        <v>1.8814129564757231E-3</v>
      </c>
      <c r="AC14" s="231">
        <v>2.2964568306609867E-3</v>
      </c>
      <c r="AD14" s="231">
        <v>2.7848339847289876E-3</v>
      </c>
      <c r="AE14" s="231">
        <v>2.3036052239883199E-3</v>
      </c>
      <c r="AF14" s="231">
        <v>2.6154294180073456E-3</v>
      </c>
      <c r="AG14" s="231">
        <v>1.5778576142532171E-3</v>
      </c>
      <c r="AH14" s="231">
        <v>1.1642940804078871E-3</v>
      </c>
      <c r="AI14" s="231">
        <v>1.1020161567931344E-3</v>
      </c>
      <c r="AJ14" s="231">
        <v>1.1756748142969474E-3</v>
      </c>
      <c r="AK14" s="231">
        <v>1.1859185229572352E-3</v>
      </c>
    </row>
    <row r="15" spans="1:40" x14ac:dyDescent="0.25">
      <c r="B15" s="232" t="s">
        <v>1067</v>
      </c>
      <c r="C15" s="232" t="s">
        <v>535</v>
      </c>
      <c r="D15" s="233">
        <v>2.8051744007731947</v>
      </c>
      <c r="E15" s="233">
        <v>2.7713464036555502</v>
      </c>
      <c r="F15" s="233">
        <v>2.8486062651075406</v>
      </c>
      <c r="G15" s="233">
        <v>3.0163818529377884</v>
      </c>
      <c r="H15" s="233">
        <v>3.1532682149061491</v>
      </c>
      <c r="I15" s="233">
        <v>3.2667731992426532</v>
      </c>
      <c r="J15" s="233">
        <v>3.38053337934867</v>
      </c>
      <c r="K15" s="233">
        <v>3.4041270974394502</v>
      </c>
      <c r="L15" s="233">
        <v>3.4552800993691624</v>
      </c>
      <c r="M15" s="233">
        <v>3.4976870120608607</v>
      </c>
      <c r="N15" s="233">
        <v>3.4938950869523016</v>
      </c>
      <c r="O15" s="233">
        <v>3.4607597860121038</v>
      </c>
      <c r="P15" s="233">
        <v>3.483909345343843</v>
      </c>
      <c r="Q15" s="233">
        <v>3.5018101533079049</v>
      </c>
      <c r="R15" s="233">
        <v>3.4482810680290972</v>
      </c>
      <c r="S15" s="233">
        <v>3.514648804680506</v>
      </c>
      <c r="T15" s="233">
        <v>3.7045835379036922</v>
      </c>
      <c r="U15" s="233">
        <v>3.7269711019753062</v>
      </c>
      <c r="V15" s="233">
        <v>3.8725657875308861</v>
      </c>
      <c r="W15" s="233">
        <v>3.8262287186623127</v>
      </c>
      <c r="X15" s="233">
        <v>3.7135103851958879</v>
      </c>
      <c r="Y15" s="233">
        <v>3.6872964584180927</v>
      </c>
      <c r="Z15" s="233">
        <v>3.5308052338542057</v>
      </c>
      <c r="AA15" s="233">
        <v>3.4356941992903098</v>
      </c>
      <c r="AB15" s="233">
        <v>3.2494087992651961</v>
      </c>
      <c r="AC15" s="233">
        <v>3.268532452460529</v>
      </c>
      <c r="AD15" s="233">
        <v>3.3531391529232866</v>
      </c>
      <c r="AE15" s="233">
        <v>3.4954810916969818</v>
      </c>
      <c r="AF15" s="233">
        <v>3.7119694117870852</v>
      </c>
      <c r="AG15" s="233">
        <v>3.6213840554834831</v>
      </c>
      <c r="AH15" s="233">
        <v>3.5874581366723701</v>
      </c>
      <c r="AI15" s="233">
        <v>3.5261502423220565</v>
      </c>
      <c r="AJ15" s="233">
        <v>3.275136147547991</v>
      </c>
      <c r="AK15" s="233">
        <v>3.2058834469360655</v>
      </c>
    </row>
    <row r="16" spans="1:40" ht="18" x14ac:dyDescent="0.35">
      <c r="B16" s="229" t="s">
        <v>1057</v>
      </c>
      <c r="C16" s="230" t="s">
        <v>1068</v>
      </c>
      <c r="D16" s="234">
        <v>2.3184123140894251</v>
      </c>
      <c r="E16" s="234">
        <v>2.2200133423829751</v>
      </c>
      <c r="F16" s="234">
        <v>2.250255015948293</v>
      </c>
      <c r="G16" s="234">
        <v>2.3252709714946849</v>
      </c>
      <c r="H16" s="234">
        <v>2.348256840866163</v>
      </c>
      <c r="I16" s="234">
        <v>2.4109518100344411</v>
      </c>
      <c r="J16" s="234">
        <v>2.4380110086694118</v>
      </c>
      <c r="K16" s="234">
        <v>2.4404830555751369</v>
      </c>
      <c r="L16" s="234">
        <v>2.4112851583377619</v>
      </c>
      <c r="M16" s="234">
        <v>2.4198985903878669</v>
      </c>
      <c r="N16" s="234">
        <v>2.3350051260615121</v>
      </c>
      <c r="O16" s="234">
        <v>2.2270851580181592</v>
      </c>
      <c r="P16" s="234">
        <v>2.125789043175081</v>
      </c>
      <c r="Q16" s="234">
        <v>2.0340730555792801</v>
      </c>
      <c r="R16" s="234">
        <v>1.966660851700569</v>
      </c>
      <c r="S16" s="234">
        <v>2.0041104818920328</v>
      </c>
      <c r="T16" s="234">
        <v>2.0737579771243988</v>
      </c>
      <c r="U16" s="234">
        <v>2.0229975939506502</v>
      </c>
      <c r="V16" s="234">
        <v>2.171504539671365</v>
      </c>
      <c r="W16" s="234">
        <v>2.032512661239438</v>
      </c>
      <c r="X16" s="234">
        <v>1.9960051265494889</v>
      </c>
      <c r="Y16" s="234">
        <v>1.941794783046916</v>
      </c>
      <c r="Z16" s="234">
        <v>1.783018382645827</v>
      </c>
      <c r="AA16" s="234">
        <v>1.743005928903034</v>
      </c>
      <c r="AB16" s="234">
        <v>1.534510898802065</v>
      </c>
      <c r="AC16" s="234">
        <v>1.599941082498608</v>
      </c>
      <c r="AD16" s="234">
        <v>1.6932435241331909</v>
      </c>
      <c r="AE16" s="234">
        <v>1.785499553007504</v>
      </c>
      <c r="AF16" s="234">
        <v>1.9282261566950969</v>
      </c>
      <c r="AG16" s="234">
        <v>1.873320899339701</v>
      </c>
      <c r="AH16" s="234">
        <v>1.805568048173305</v>
      </c>
      <c r="AI16" s="234">
        <v>1.735835931231597</v>
      </c>
      <c r="AJ16" s="234">
        <v>1.6850839644272779</v>
      </c>
      <c r="AK16" s="234">
        <v>1.6226194467183439</v>
      </c>
    </row>
    <row r="17" spans="2:37" ht="18" x14ac:dyDescent="0.35">
      <c r="B17" s="229" t="s">
        <v>1059</v>
      </c>
      <c r="C17" s="230" t="s">
        <v>1068</v>
      </c>
      <c r="D17" s="234">
        <v>0.31731795042233868</v>
      </c>
      <c r="E17" s="234">
        <v>0.39081628719068362</v>
      </c>
      <c r="F17" s="234">
        <v>0.44264583725689599</v>
      </c>
      <c r="G17" s="234">
        <v>0.54523691251799056</v>
      </c>
      <c r="H17" s="234">
        <v>0.66249315219807547</v>
      </c>
      <c r="I17" s="234">
        <v>0.72001891444950461</v>
      </c>
      <c r="J17" s="234">
        <v>0.81889564300375428</v>
      </c>
      <c r="K17" s="234">
        <v>0.84333106127201163</v>
      </c>
      <c r="L17" s="234">
        <v>0.92669446033366076</v>
      </c>
      <c r="M17" s="234">
        <v>0.96710800507890271</v>
      </c>
      <c r="N17" s="234">
        <v>1.0526638645667981</v>
      </c>
      <c r="O17" s="234">
        <v>1.1405968519423539</v>
      </c>
      <c r="P17" s="234">
        <v>1.2706308463872711</v>
      </c>
      <c r="Q17" s="234">
        <v>1.380410359504314</v>
      </c>
      <c r="R17" s="234">
        <v>1.398215195661398</v>
      </c>
      <c r="S17" s="234">
        <v>1.428556019678523</v>
      </c>
      <c r="T17" s="234">
        <v>1.545204975226524</v>
      </c>
      <c r="U17" s="234">
        <v>1.6235346400290671</v>
      </c>
      <c r="V17" s="234">
        <v>1.6209896736205329</v>
      </c>
      <c r="W17" s="234">
        <v>1.716552776940488</v>
      </c>
      <c r="X17" s="234">
        <v>1.6407092719206131</v>
      </c>
      <c r="Y17" s="234">
        <v>1.6728655824019909</v>
      </c>
      <c r="Z17" s="234">
        <v>1.679293851995795</v>
      </c>
      <c r="AA17" s="234">
        <v>1.624812431702213</v>
      </c>
      <c r="AB17" s="234">
        <v>1.649898822305589</v>
      </c>
      <c r="AC17" s="234">
        <v>1.6019288523319</v>
      </c>
      <c r="AD17" s="234">
        <v>1.5938376716875959</v>
      </c>
      <c r="AE17" s="234">
        <v>1.642776742114499</v>
      </c>
      <c r="AF17" s="234">
        <v>1.71741601904453</v>
      </c>
      <c r="AG17" s="234">
        <v>1.6813114806238449</v>
      </c>
      <c r="AH17" s="234">
        <v>1.7170407735066491</v>
      </c>
      <c r="AI17" s="234">
        <v>1.728572756625564</v>
      </c>
      <c r="AJ17" s="234">
        <v>1.527680389183339</v>
      </c>
      <c r="AK17" s="234">
        <v>1.521714887188014</v>
      </c>
    </row>
    <row r="18" spans="2:37" ht="18" x14ac:dyDescent="0.35">
      <c r="B18" s="229" t="s">
        <v>1060</v>
      </c>
      <c r="C18" s="230" t="s">
        <v>1068</v>
      </c>
      <c r="D18" s="234">
        <v>0.12474</v>
      </c>
      <c r="E18" s="234">
        <v>0.116424</v>
      </c>
      <c r="F18" s="234">
        <v>0.11214</v>
      </c>
      <c r="G18" s="234">
        <v>0.10206</v>
      </c>
      <c r="H18" s="234">
        <v>9.8280000000000006E-2</v>
      </c>
      <c r="I18" s="234">
        <v>9.1980000000000006E-2</v>
      </c>
      <c r="J18" s="234">
        <v>7.9380000000000006E-2</v>
      </c>
      <c r="K18" s="234">
        <v>7.5600000000000001E-2</v>
      </c>
      <c r="L18" s="234">
        <v>7.3080000000000006E-2</v>
      </c>
      <c r="M18" s="234">
        <v>6.6780000000000006E-2</v>
      </c>
      <c r="N18" s="234">
        <v>6.3E-2</v>
      </c>
      <c r="O18" s="234">
        <v>5.04E-2</v>
      </c>
      <c r="P18" s="234">
        <v>4.5359999999999998E-2</v>
      </c>
      <c r="Q18" s="234">
        <v>4.41E-2</v>
      </c>
      <c r="R18" s="234">
        <v>3.9059999999999997E-2</v>
      </c>
      <c r="S18" s="234">
        <v>3.6540000000000003E-2</v>
      </c>
      <c r="T18" s="234">
        <v>3.9059999999999997E-2</v>
      </c>
      <c r="U18" s="234">
        <v>3.2759999999999997E-2</v>
      </c>
      <c r="V18" s="234">
        <v>3.2759999999999997E-2</v>
      </c>
      <c r="W18" s="234">
        <v>3.024E-2</v>
      </c>
      <c r="X18" s="234">
        <v>3.024E-2</v>
      </c>
      <c r="Y18" s="234">
        <v>2.6460000000000001E-2</v>
      </c>
      <c r="Z18" s="234">
        <v>2.2679999999999999E-2</v>
      </c>
      <c r="AA18" s="234">
        <v>2.2679999999999999E-2</v>
      </c>
      <c r="AB18" s="234">
        <v>2.0412E-2</v>
      </c>
      <c r="AC18" s="234">
        <v>2.2679999999999999E-2</v>
      </c>
      <c r="AD18" s="234">
        <v>2.2679999999999999E-2</v>
      </c>
      <c r="AE18" s="234">
        <v>2.4444E-2</v>
      </c>
      <c r="AF18" s="234">
        <v>2.4192000000000002E-2</v>
      </c>
      <c r="AG18" s="234">
        <v>2.52E-2</v>
      </c>
      <c r="AH18" s="234">
        <v>2.3939999999999999E-2</v>
      </c>
      <c r="AI18" s="234">
        <v>2.1420000000000002E-2</v>
      </c>
      <c r="AJ18" s="234">
        <v>2.2679999999999999E-2</v>
      </c>
      <c r="AK18" s="234">
        <v>2.297105626853296E-2</v>
      </c>
    </row>
    <row r="19" spans="2:37" ht="18" x14ac:dyDescent="0.35">
      <c r="B19" s="229" t="s">
        <v>1061</v>
      </c>
      <c r="C19" s="230" t="s">
        <v>1068</v>
      </c>
      <c r="D19" s="234">
        <v>2.2985020799999999E-2</v>
      </c>
      <c r="E19" s="234">
        <v>2.1932870399999999E-2</v>
      </c>
      <c r="F19" s="234">
        <v>2.0880719999999998E-2</v>
      </c>
      <c r="G19" s="234">
        <v>2.1526948800000001E-2</v>
      </c>
      <c r="H19" s="234">
        <v>2.21731776E-2</v>
      </c>
      <c r="I19" s="234">
        <v>2.2819406399999999E-2</v>
      </c>
      <c r="J19" s="234">
        <v>2.3465635200000001E-2</v>
      </c>
      <c r="K19" s="234">
        <v>2.4111864E-2</v>
      </c>
      <c r="L19" s="234">
        <v>2.399544E-2</v>
      </c>
      <c r="M19" s="234">
        <v>2.3879015999999999E-2</v>
      </c>
      <c r="N19" s="234">
        <v>2.3762591999999999E-2</v>
      </c>
      <c r="O19" s="234">
        <v>2.3646167999999999E-2</v>
      </c>
      <c r="P19" s="234">
        <v>2.3529743999999998E-2</v>
      </c>
      <c r="Q19" s="234">
        <v>2.4228288000000001E-2</v>
      </c>
      <c r="R19" s="234">
        <v>2.4926831999999999E-2</v>
      </c>
      <c r="S19" s="234">
        <v>2.5625375999999998E-2</v>
      </c>
      <c r="T19" s="234">
        <v>2.6323920000000001E-2</v>
      </c>
      <c r="U19" s="234">
        <v>2.7022464E-2</v>
      </c>
      <c r="V19" s="234">
        <v>2.6730849599999999E-2</v>
      </c>
      <c r="W19" s="234">
        <v>2.6439235200000001E-2</v>
      </c>
      <c r="X19" s="234">
        <v>2.61476208E-2</v>
      </c>
      <c r="Y19" s="234">
        <v>2.5856006399999999E-2</v>
      </c>
      <c r="Z19" s="234">
        <v>2.5564391999999998E-2</v>
      </c>
      <c r="AA19" s="234">
        <v>2.4822806400000001E-2</v>
      </c>
      <c r="AB19" s="234">
        <v>2.4081220800000001E-2</v>
      </c>
      <c r="AC19" s="234">
        <v>2.33396352E-2</v>
      </c>
      <c r="AD19" s="234">
        <v>2.25980496E-2</v>
      </c>
      <c r="AE19" s="234">
        <v>2.1856463999999999E-2</v>
      </c>
      <c r="AF19" s="234">
        <v>2.1114878399999999E-2</v>
      </c>
      <c r="AG19" s="234">
        <v>2.0373292800000001E-2</v>
      </c>
      <c r="AH19" s="234">
        <v>1.9631707200000001E-2</v>
      </c>
      <c r="AI19" s="234">
        <v>1.88901216E-2</v>
      </c>
      <c r="AJ19" s="234">
        <v>1.8148536E-2</v>
      </c>
      <c r="AK19" s="234">
        <v>1.6793352288822359E-2</v>
      </c>
    </row>
    <row r="20" spans="2:37" ht="18" x14ac:dyDescent="0.35">
      <c r="B20" s="229" t="s">
        <v>1062</v>
      </c>
      <c r="C20" s="230" t="s">
        <v>1068</v>
      </c>
      <c r="D20" s="234">
        <v>1.7685108000000001E-2</v>
      </c>
      <c r="E20" s="234">
        <v>1.7685108000000001E-2</v>
      </c>
      <c r="F20" s="234">
        <v>1.7685108000000001E-2</v>
      </c>
      <c r="G20" s="234">
        <v>1.6607808000000002E-2</v>
      </c>
      <c r="H20" s="234">
        <v>1.5530508E-2</v>
      </c>
      <c r="I20" s="234">
        <v>1.4453208E-2</v>
      </c>
      <c r="J20" s="234">
        <v>1.3375908000000001E-2</v>
      </c>
      <c r="K20" s="234">
        <v>1.2298608000000001E-2</v>
      </c>
      <c r="L20" s="234">
        <v>1.08029376E-2</v>
      </c>
      <c r="M20" s="234">
        <v>9.3072671999999985E-3</v>
      </c>
      <c r="N20" s="234">
        <v>7.8115968000000008E-3</v>
      </c>
      <c r="O20" s="234">
        <v>6.3159263999999996E-3</v>
      </c>
      <c r="P20" s="234">
        <v>4.8202560000000002E-3</v>
      </c>
      <c r="Q20" s="234">
        <v>5.6537208000000004E-3</v>
      </c>
      <c r="R20" s="234">
        <v>6.4871855999999997E-3</v>
      </c>
      <c r="S20" s="234">
        <v>7.3206503999999999E-3</v>
      </c>
      <c r="T20" s="234">
        <v>8.1541151999999992E-3</v>
      </c>
      <c r="U20" s="234">
        <v>8.9875800000000002E-3</v>
      </c>
      <c r="V20" s="234">
        <v>8.7515063999999993E-3</v>
      </c>
      <c r="W20" s="234">
        <v>8.5154328000000001E-3</v>
      </c>
      <c r="X20" s="234">
        <v>8.2793591999999992E-3</v>
      </c>
      <c r="Y20" s="234">
        <v>8.0432856E-3</v>
      </c>
      <c r="Z20" s="234">
        <v>7.807212E-3</v>
      </c>
      <c r="AA20" s="234">
        <v>8.0094168000000004E-3</v>
      </c>
      <c r="AB20" s="234">
        <v>8.2116216000000016E-3</v>
      </c>
      <c r="AC20" s="234">
        <v>8.4138263999999994E-3</v>
      </c>
      <c r="AD20" s="234">
        <v>8.6160312000000006E-3</v>
      </c>
      <c r="AE20" s="234">
        <v>8.8182360000000001E-3</v>
      </c>
      <c r="AF20" s="234">
        <v>9.0204408000000014E-3</v>
      </c>
      <c r="AG20" s="234">
        <v>9.2226455999999991E-3</v>
      </c>
      <c r="AH20" s="234">
        <v>9.4248504000000004E-3</v>
      </c>
      <c r="AI20" s="234">
        <v>9.6270551999999981E-3</v>
      </c>
      <c r="AJ20" s="234">
        <v>9.8292599999999994E-3</v>
      </c>
      <c r="AK20" s="234">
        <v>9.8838794725707411E-3</v>
      </c>
    </row>
    <row r="21" spans="2:37" ht="18" x14ac:dyDescent="0.35">
      <c r="B21" s="229" t="s">
        <v>1063</v>
      </c>
      <c r="C21" s="230" t="s">
        <v>1068</v>
      </c>
      <c r="D21" s="234">
        <v>1.134E-3</v>
      </c>
      <c r="E21" s="234">
        <v>1.008E-3</v>
      </c>
      <c r="F21" s="234">
        <v>9.6599999999999995E-4</v>
      </c>
      <c r="G21" s="234">
        <v>1.0499999999999999E-3</v>
      </c>
      <c r="H21" s="234">
        <v>1.0499999999999999E-3</v>
      </c>
      <c r="I21" s="234">
        <v>2.1000000000000001E-4</v>
      </c>
      <c r="J21" s="234">
        <v>2.1000000000000001E-4</v>
      </c>
      <c r="K21" s="234">
        <v>2.52E-4</v>
      </c>
      <c r="L21" s="234">
        <v>2.52E-4</v>
      </c>
      <c r="M21" s="234">
        <v>2.52E-4</v>
      </c>
      <c r="N21" s="234">
        <v>1.26E-4</v>
      </c>
      <c r="O21" s="234">
        <v>1.26E-4</v>
      </c>
      <c r="P21" s="234">
        <v>1.26E-4</v>
      </c>
      <c r="Q21" s="234">
        <v>1.05E-4</v>
      </c>
      <c r="R21" s="234">
        <v>1.05E-4</v>
      </c>
      <c r="S21" s="234">
        <v>8.3999999999999995E-5</v>
      </c>
      <c r="T21" s="234">
        <v>8.3999999999999995E-5</v>
      </c>
      <c r="U21" s="234">
        <v>8.3999999999999995E-5</v>
      </c>
      <c r="V21" s="234">
        <v>8.3999999999999995E-5</v>
      </c>
      <c r="W21" s="234">
        <v>6.3E-5</v>
      </c>
      <c r="X21" s="234">
        <v>6.3E-5</v>
      </c>
      <c r="Y21" s="234">
        <v>5.0399999999999999E-5</v>
      </c>
      <c r="Z21" s="234">
        <v>5.4599999999999999E-5</v>
      </c>
      <c r="AA21" s="234">
        <v>5.0399999999999999E-5</v>
      </c>
      <c r="AB21" s="234">
        <v>5.4599999999999999E-5</v>
      </c>
      <c r="AC21" s="234">
        <v>6.3E-5</v>
      </c>
      <c r="AD21" s="234">
        <v>7.1400000000000001E-5</v>
      </c>
      <c r="AE21" s="234">
        <v>6.7199999999999994E-5</v>
      </c>
      <c r="AF21" s="234">
        <v>5.4599999999999999E-5</v>
      </c>
      <c r="AG21" s="234">
        <v>8.3999999999999995E-5</v>
      </c>
      <c r="AH21" s="234">
        <v>5.4599999999999999E-5</v>
      </c>
      <c r="AI21" s="234">
        <v>7.9800000000000002E-5</v>
      </c>
      <c r="AJ21" s="234">
        <v>6.3E-5</v>
      </c>
      <c r="AK21" s="234">
        <v>6.4252197328854721E-5</v>
      </c>
    </row>
    <row r="22" spans="2:37" ht="18" x14ac:dyDescent="0.35">
      <c r="B22" s="229" t="s">
        <v>1064</v>
      </c>
      <c r="C22" s="230" t="s">
        <v>1068</v>
      </c>
      <c r="D22" s="234">
        <v>2.6950474614310781E-3</v>
      </c>
      <c r="E22" s="234">
        <v>3.2565156818913118E-3</v>
      </c>
      <c r="F22" s="234">
        <v>3.8179839023515468E-3</v>
      </c>
      <c r="G22" s="234">
        <v>4.3794521251131766E-3</v>
      </c>
      <c r="H22" s="234">
        <v>5.2006162419102322E-3</v>
      </c>
      <c r="I22" s="234">
        <v>6.0217803587072896E-3</v>
      </c>
      <c r="J22" s="234">
        <v>6.8429444755043452E-3</v>
      </c>
      <c r="K22" s="234">
        <v>7.6641085923014043E-3</v>
      </c>
      <c r="L22" s="234">
        <v>8.813719097739715E-3</v>
      </c>
      <c r="M22" s="234">
        <v>1.013576539409097E-2</v>
      </c>
      <c r="N22" s="234">
        <v>1.1229555523991431E-2</v>
      </c>
      <c r="O22" s="234">
        <v>1.2323345651590489E-2</v>
      </c>
      <c r="P22" s="234">
        <v>1.341713578149095E-2</v>
      </c>
      <c r="Q22" s="234">
        <v>1.294488942431051E-2</v>
      </c>
      <c r="R22" s="234">
        <v>1.2472643067130069E-2</v>
      </c>
      <c r="S22" s="234">
        <v>1.2000396709949641E-2</v>
      </c>
      <c r="T22" s="234">
        <v>1.15281503527692E-2</v>
      </c>
      <c r="U22" s="234">
        <v>1.105590399558876E-2</v>
      </c>
      <c r="V22" s="234">
        <v>1.1217922238987901E-2</v>
      </c>
      <c r="W22" s="234">
        <v>1.137994048238704E-2</v>
      </c>
      <c r="X22" s="234">
        <v>1.154195872578617E-2</v>
      </c>
      <c r="Y22" s="234">
        <v>1.170397696918531E-2</v>
      </c>
      <c r="Z22" s="234">
        <v>1.186599521258444E-2</v>
      </c>
      <c r="AA22" s="234">
        <v>1.1767495485063379E-2</v>
      </c>
      <c r="AB22" s="234">
        <v>1.166899575754231E-2</v>
      </c>
      <c r="AC22" s="234">
        <v>1.1570496030021251E-2</v>
      </c>
      <c r="AD22" s="234">
        <v>1.1471996302500179E-2</v>
      </c>
      <c r="AE22" s="234">
        <v>1.137349657497912E-2</v>
      </c>
      <c r="AF22" s="234">
        <v>1.1274996847458051E-2</v>
      </c>
      <c r="AG22" s="234">
        <v>1.1176497119936979E-2</v>
      </c>
      <c r="AH22" s="234">
        <v>1.107799739241592E-2</v>
      </c>
      <c r="AI22" s="234">
        <v>1.0979497664894859E-2</v>
      </c>
      <c r="AJ22" s="234">
        <v>1.088099793737379E-2</v>
      </c>
      <c r="AK22" s="234">
        <v>1.105550501301706E-2</v>
      </c>
    </row>
    <row r="23" spans="2:37" ht="18" x14ac:dyDescent="0.35">
      <c r="B23" s="229" t="s">
        <v>1065</v>
      </c>
      <c r="C23" s="230" t="s">
        <v>1068</v>
      </c>
      <c r="D23" s="234">
        <v>2.0495999999999999E-4</v>
      </c>
      <c r="E23" s="234">
        <v>2.1028E-4</v>
      </c>
      <c r="F23" s="234">
        <v>2.1560000000000001E-4</v>
      </c>
      <c r="G23" s="234">
        <v>2.4976000000000002E-4</v>
      </c>
      <c r="H23" s="234">
        <v>2.8392000000000001E-4</v>
      </c>
      <c r="I23" s="234">
        <v>3.1807999999999999E-4</v>
      </c>
      <c r="J23" s="234">
        <v>3.5223999999999997E-4</v>
      </c>
      <c r="K23" s="234">
        <v>3.8640000000000001E-4</v>
      </c>
      <c r="L23" s="234">
        <v>3.5638400000000001E-4</v>
      </c>
      <c r="M23" s="234">
        <v>3.26368E-4</v>
      </c>
      <c r="N23" s="234">
        <v>2.96352E-4</v>
      </c>
      <c r="O23" s="234">
        <v>2.6633599999999999E-4</v>
      </c>
      <c r="P23" s="234">
        <v>2.3631999999999999E-4</v>
      </c>
      <c r="Q23" s="234">
        <v>2.9483999999999999E-4</v>
      </c>
      <c r="R23" s="234">
        <v>3.5335999999999999E-4</v>
      </c>
      <c r="S23" s="234">
        <v>4.1187999999999999E-4</v>
      </c>
      <c r="T23" s="234">
        <v>4.704E-4</v>
      </c>
      <c r="U23" s="234">
        <v>5.2892E-4</v>
      </c>
      <c r="V23" s="234">
        <v>5.2729600000000001E-4</v>
      </c>
      <c r="W23" s="234">
        <v>5.2567200000000003E-4</v>
      </c>
      <c r="X23" s="234">
        <v>5.2404800000000005E-4</v>
      </c>
      <c r="Y23" s="234">
        <v>5.2242399999999996E-4</v>
      </c>
      <c r="Z23" s="234">
        <v>5.2079999999999997E-4</v>
      </c>
      <c r="AA23" s="234">
        <v>5.4571999999999997E-4</v>
      </c>
      <c r="AB23" s="234">
        <v>5.7063999999999997E-4</v>
      </c>
      <c r="AC23" s="234">
        <v>5.9555999999999997E-4</v>
      </c>
      <c r="AD23" s="234">
        <v>6.2047999999999997E-4</v>
      </c>
      <c r="AE23" s="234">
        <v>6.4539999999999997E-4</v>
      </c>
      <c r="AF23" s="234">
        <v>6.7031999999999997E-4</v>
      </c>
      <c r="AG23" s="234">
        <v>6.9523999999999996E-4</v>
      </c>
      <c r="AH23" s="234">
        <v>7.2015999999999996E-4</v>
      </c>
      <c r="AI23" s="234">
        <v>7.4507999999999996E-4</v>
      </c>
      <c r="AJ23" s="234">
        <v>7.6999999999999996E-4</v>
      </c>
      <c r="AK23" s="234">
        <v>7.8106778943593457E-4</v>
      </c>
    </row>
    <row r="24" spans="2:37" x14ac:dyDescent="0.25">
      <c r="B24" s="235" t="s">
        <v>1069</v>
      </c>
      <c r="C24" s="232" t="s">
        <v>535</v>
      </c>
      <c r="D24" s="233">
        <v>0.5010183227503352</v>
      </c>
      <c r="E24" s="233">
        <v>0.58700674509464223</v>
      </c>
      <c r="F24" s="233">
        <v>0.67095239246084615</v>
      </c>
      <c r="G24" s="233">
        <v>0.81308561643664257</v>
      </c>
      <c r="H24" s="233">
        <v>1.0075472120987852</v>
      </c>
      <c r="I24" s="233">
        <v>1.0852365880274097</v>
      </c>
      <c r="J24" s="233">
        <v>1.2114128394223733</v>
      </c>
      <c r="K24" s="233">
        <v>1.2332493353098788</v>
      </c>
      <c r="L24" s="233">
        <v>1.3429017149405902</v>
      </c>
      <c r="M24" s="233">
        <v>1.3606742358062063</v>
      </c>
      <c r="N24" s="233">
        <v>1.4811479882084047</v>
      </c>
      <c r="O24" s="233">
        <v>1.5747733007799418</v>
      </c>
      <c r="P24" s="233">
        <v>1.6799345629521685</v>
      </c>
      <c r="Q24" s="233">
        <v>1.8036703470054942</v>
      </c>
      <c r="R24" s="233">
        <v>1.6671030355618452</v>
      </c>
      <c r="S24" s="233">
        <v>1.6812185491290212</v>
      </c>
      <c r="T24" s="233">
        <v>1.760313931689812</v>
      </c>
      <c r="U24" s="233">
        <v>1.8555586202204153</v>
      </c>
      <c r="V24" s="233">
        <v>1.7556021900196945</v>
      </c>
      <c r="W24" s="233">
        <v>1.7663534913061172</v>
      </c>
      <c r="X24" s="233">
        <v>1.6452746175369599</v>
      </c>
      <c r="Y24" s="233">
        <v>1.6493430654491086</v>
      </c>
      <c r="Z24" s="233">
        <v>1.6192657585453341</v>
      </c>
      <c r="AA24" s="233">
        <v>1.4823424372270189</v>
      </c>
      <c r="AB24" s="233">
        <v>1.4499141969432077</v>
      </c>
      <c r="AC24" s="233">
        <v>1.3903216741785136</v>
      </c>
      <c r="AD24" s="233">
        <v>1.3252473957186526</v>
      </c>
      <c r="AE24" s="233">
        <v>1.3629041840027873</v>
      </c>
      <c r="AF24" s="233">
        <v>1.4202628914843951</v>
      </c>
      <c r="AG24" s="233">
        <v>1.4164845301350604</v>
      </c>
      <c r="AH24" s="233">
        <v>1.4366894984076211</v>
      </c>
      <c r="AI24" s="233">
        <v>1.4425626629557859</v>
      </c>
      <c r="AJ24" s="233">
        <v>1.2615809416936037</v>
      </c>
      <c r="AK24" s="233">
        <v>1.2605021431226806</v>
      </c>
    </row>
    <row r="25" spans="2:37" x14ac:dyDescent="0.25">
      <c r="B25" s="229" t="s">
        <v>1057</v>
      </c>
      <c r="C25" s="230" t="s">
        <v>535</v>
      </c>
      <c r="D25" s="234">
        <v>8.1041723401284932E-2</v>
      </c>
      <c r="E25" s="234">
        <v>7.4966977357987422E-2</v>
      </c>
      <c r="F25" s="234">
        <v>7.8917125347244238E-2</v>
      </c>
      <c r="G25" s="234">
        <v>7.7998994023183721E-2</v>
      </c>
      <c r="H25" s="234">
        <v>9.6706319387411172E-2</v>
      </c>
      <c r="I25" s="234">
        <v>0.10089587126085958</v>
      </c>
      <c r="J25" s="234">
        <v>8.9522672249377128E-2</v>
      </c>
      <c r="K25" s="234">
        <v>8.7305360640926019E-2</v>
      </c>
      <c r="L25" s="234">
        <v>8.0237536783248853E-2</v>
      </c>
      <c r="M25" s="234">
        <v>8.4235577792006064E-2</v>
      </c>
      <c r="N25" s="234">
        <v>8.1765398263986822E-2</v>
      </c>
      <c r="O25" s="234">
        <v>7.6797114477807016E-2</v>
      </c>
      <c r="P25" s="234">
        <v>7.5020258071657048E-2</v>
      </c>
      <c r="Q25" s="234">
        <v>8.1230913812587943E-2</v>
      </c>
      <c r="R25" s="234">
        <v>7.4475045751303814E-2</v>
      </c>
      <c r="S25" s="234">
        <v>7.8634987786551383E-2</v>
      </c>
      <c r="T25" s="234">
        <v>8.9074458731769668E-2</v>
      </c>
      <c r="U25" s="234">
        <v>8.5059091592761357E-2</v>
      </c>
      <c r="V25" s="234">
        <v>9.2110822476038121E-2</v>
      </c>
      <c r="W25" s="234">
        <v>5.265929466747634E-2</v>
      </c>
      <c r="X25" s="234">
        <v>3.0928612588983263E-2</v>
      </c>
      <c r="Y25" s="234">
        <v>2.9303062861342703E-2</v>
      </c>
      <c r="Z25" s="234">
        <v>2.7403205331769417E-2</v>
      </c>
      <c r="AA25" s="234">
        <v>2.4506018189792877E-2</v>
      </c>
      <c r="AB25" s="234">
        <v>2.0234461934425158E-2</v>
      </c>
      <c r="AC25" s="234">
        <v>2.1160294053550018E-2</v>
      </c>
      <c r="AD25" s="234">
        <v>2.2996501825059308E-2</v>
      </c>
      <c r="AE25" s="234">
        <v>2.5477169177165297E-2</v>
      </c>
      <c r="AF25" s="234">
        <v>2.8135243331261044E-2</v>
      </c>
      <c r="AG25" s="234">
        <v>2.6632299544872749E-2</v>
      </c>
      <c r="AH25" s="234">
        <v>2.5521508748127499E-2</v>
      </c>
      <c r="AI25" s="234">
        <v>2.4736547065849247E-2</v>
      </c>
      <c r="AJ25" s="234">
        <v>2.3862776696900848E-2</v>
      </c>
      <c r="AK25" s="234">
        <v>2.3060536809979697E-2</v>
      </c>
    </row>
    <row r="26" spans="2:37" x14ac:dyDescent="0.25">
      <c r="B26" s="229" t="s">
        <v>1059</v>
      </c>
      <c r="C26" s="230" t="s">
        <v>535</v>
      </c>
      <c r="D26" s="234">
        <v>0.39603035297742273</v>
      </c>
      <c r="E26" s="234">
        <v>0.48744035519652656</v>
      </c>
      <c r="F26" s="234">
        <v>0.565138518190762</v>
      </c>
      <c r="G26" s="234">
        <v>0.70721330834338381</v>
      </c>
      <c r="H26" s="234">
        <v>0.87870974043931671</v>
      </c>
      <c r="I26" s="234">
        <v>0.95041741295040649</v>
      </c>
      <c r="J26" s="234">
        <v>1.0860791639791672</v>
      </c>
      <c r="K26" s="234">
        <v>1.1070578676699936</v>
      </c>
      <c r="L26" s="234">
        <v>1.2190769789402756</v>
      </c>
      <c r="M26" s="234">
        <v>1.2287423720311363</v>
      </c>
      <c r="N26" s="234">
        <v>1.350658295739501</v>
      </c>
      <c r="O26" s="234">
        <v>1.4533236958249083</v>
      </c>
      <c r="P26" s="234">
        <v>1.5665627219086977</v>
      </c>
      <c r="Q26" s="234">
        <v>1.6832538970360296</v>
      </c>
      <c r="R26" s="234">
        <v>1.5573542425469125</v>
      </c>
      <c r="S26" s="234">
        <v>1.5695844593779338</v>
      </c>
      <c r="T26" s="234">
        <v>1.6394018893828128</v>
      </c>
      <c r="U26" s="234">
        <v>1.7380149196228138</v>
      </c>
      <c r="V26" s="234">
        <v>1.6395019541574873</v>
      </c>
      <c r="W26" s="234">
        <v>1.6924405930929731</v>
      </c>
      <c r="X26" s="234">
        <v>1.5969035603176303</v>
      </c>
      <c r="Y26" s="234">
        <v>1.6057215290216864</v>
      </c>
      <c r="Z26" s="234">
        <v>1.5823754684667017</v>
      </c>
      <c r="AA26" s="234">
        <v>1.4485842867014918</v>
      </c>
      <c r="AB26" s="234">
        <v>1.4210028707215256</v>
      </c>
      <c r="AC26" s="234">
        <v>1.3597925958884591</v>
      </c>
      <c r="AD26" s="234">
        <v>1.2924860488631182</v>
      </c>
      <c r="AE26" s="234">
        <v>1.3279865720985684</v>
      </c>
      <c r="AF26" s="234">
        <v>1.38251754545953</v>
      </c>
      <c r="AG26" s="234">
        <v>1.381121829965863</v>
      </c>
      <c r="AH26" s="234">
        <v>1.4032074663960388</v>
      </c>
      <c r="AI26" s="234">
        <v>1.4102888417174799</v>
      </c>
      <c r="AJ26" s="234">
        <v>1.2301008151936761</v>
      </c>
      <c r="AK26" s="234">
        <v>1.2299257908656276</v>
      </c>
    </row>
    <row r="27" spans="2:37" x14ac:dyDescent="0.25">
      <c r="B27" s="229" t="s">
        <v>1060</v>
      </c>
      <c r="C27" s="230" t="s">
        <v>535</v>
      </c>
      <c r="D27" s="234">
        <v>4.8299164690564578E-3</v>
      </c>
      <c r="E27" s="234">
        <v>4.9303488485309662E-3</v>
      </c>
      <c r="F27" s="234">
        <v>5.3364185082009508E-3</v>
      </c>
      <c r="G27" s="234">
        <v>4.0823973055596225E-3</v>
      </c>
      <c r="H27" s="234">
        <v>5.2080135546297146E-3</v>
      </c>
      <c r="I27" s="234">
        <v>6.0691354921168904E-3</v>
      </c>
      <c r="J27" s="234">
        <v>6.2690216506467791E-3</v>
      </c>
      <c r="K27" s="234">
        <v>6.9526630788136375E-3</v>
      </c>
      <c r="L27" s="234">
        <v>7.6703350359045696E-3</v>
      </c>
      <c r="M27" s="234">
        <v>7.894706691691962E-3</v>
      </c>
      <c r="N27" s="234">
        <v>8.2929839432992758E-3</v>
      </c>
      <c r="O27" s="234">
        <v>7.3182400917457327E-3</v>
      </c>
      <c r="P27" s="234">
        <v>6.6056224793930715E-3</v>
      </c>
      <c r="Q27" s="234">
        <v>6.4408058518756785E-3</v>
      </c>
      <c r="R27" s="234">
        <v>5.7212525962262164E-3</v>
      </c>
      <c r="S27" s="234">
        <v>5.3676113451640401E-3</v>
      </c>
      <c r="T27" s="234">
        <v>5.7543302796417327E-3</v>
      </c>
      <c r="U27" s="234">
        <v>4.8400837791963483E-3</v>
      </c>
      <c r="V27" s="234">
        <v>4.85395506578995E-3</v>
      </c>
      <c r="W27" s="234">
        <v>4.4805739068830303E-3</v>
      </c>
      <c r="X27" s="234">
        <v>4.4805739068830303E-3</v>
      </c>
      <c r="Y27" s="234">
        <v>3.9205021685226526E-3</v>
      </c>
      <c r="Z27" s="234">
        <v>3.3604304301622736E-3</v>
      </c>
      <c r="AA27" s="234">
        <v>3.3604304301622736E-3</v>
      </c>
      <c r="AB27" s="234">
        <v>3.0243873871460469E-3</v>
      </c>
      <c r="AC27" s="234">
        <v>3.3604304301622736E-3</v>
      </c>
      <c r="AD27" s="234">
        <v>3.3604304301622736E-3</v>
      </c>
      <c r="AE27" s="234">
        <v>3.6217972413971167E-3</v>
      </c>
      <c r="AF27" s="234">
        <v>3.5844591255064246E-3</v>
      </c>
      <c r="AG27" s="234">
        <v>3.7338115890691937E-3</v>
      </c>
      <c r="AH27" s="234">
        <v>3.5471210096157343E-3</v>
      </c>
      <c r="AI27" s="234">
        <v>3.1737398507088142E-3</v>
      </c>
      <c r="AJ27" s="234">
        <v>3.3604304301622736E-3</v>
      </c>
      <c r="AK27" s="234">
        <v>3.4035554011317779E-3</v>
      </c>
    </row>
    <row r="28" spans="2:37" x14ac:dyDescent="0.25">
      <c r="B28" s="229" t="s">
        <v>1061</v>
      </c>
      <c r="C28" s="230" t="s">
        <v>535</v>
      </c>
      <c r="D28" s="234">
        <v>4.020000589490114E-3</v>
      </c>
      <c r="E28" s="234">
        <v>3.8359831258978141E-3</v>
      </c>
      <c r="F28" s="234">
        <v>3.6519656623055135E-3</v>
      </c>
      <c r="G28" s="234">
        <v>3.7649888429043109E-3</v>
      </c>
      <c r="H28" s="234">
        <v>3.8780120235031058E-3</v>
      </c>
      <c r="I28" s="234">
        <v>3.9910352041019025E-3</v>
      </c>
      <c r="J28" s="234">
        <v>4.1040583847006982E-3</v>
      </c>
      <c r="K28" s="234">
        <v>4.2170815652994948E-3</v>
      </c>
      <c r="L28" s="234">
        <v>4.1967194106291459E-3</v>
      </c>
      <c r="M28" s="234">
        <v>4.0493480271288403E-3</v>
      </c>
      <c r="N28" s="234">
        <v>3.9032151303783512E-3</v>
      </c>
      <c r="O28" s="234">
        <v>3.7583207203776749E-3</v>
      </c>
      <c r="P28" s="234">
        <v>3.6146647971268121E-3</v>
      </c>
      <c r="Q28" s="234">
        <v>3.593108925196464E-3</v>
      </c>
      <c r="R28" s="234">
        <v>3.5641221327672298E-3</v>
      </c>
      <c r="S28" s="234">
        <v>3.5277044198391131E-3</v>
      </c>
      <c r="T28" s="234">
        <v>3.4838557864121118E-3</v>
      </c>
      <c r="U28" s="234">
        <v>3.4325762324862253E-3</v>
      </c>
      <c r="V28" s="234">
        <v>3.2533556553690471E-3</v>
      </c>
      <c r="W28" s="234">
        <v>3.2178638782043136E-3</v>
      </c>
      <c r="X28" s="234">
        <v>3.1823721010395952E-3</v>
      </c>
      <c r="Y28" s="234">
        <v>3.14688032387486E-3</v>
      </c>
      <c r="Z28" s="234">
        <v>3.1113885467101421E-3</v>
      </c>
      <c r="AA28" s="234">
        <v>3.0211317182964239E-3</v>
      </c>
      <c r="AB28" s="234">
        <v>2.9308748898827048E-3</v>
      </c>
      <c r="AC28" s="234">
        <v>2.8406180614689879E-3</v>
      </c>
      <c r="AD28" s="234">
        <v>2.750361233055242E-3</v>
      </c>
      <c r="AE28" s="234">
        <v>2.6601044046415229E-3</v>
      </c>
      <c r="AF28" s="234">
        <v>2.569847576227806E-3</v>
      </c>
      <c r="AG28" s="234">
        <v>2.4795907478140878E-3</v>
      </c>
      <c r="AH28" s="234">
        <v>2.3893339194003709E-3</v>
      </c>
      <c r="AI28" s="234">
        <v>2.2990770909866228E-3</v>
      </c>
      <c r="AJ28" s="234">
        <v>2.2088202625729051E-3</v>
      </c>
      <c r="AK28" s="234">
        <v>2.0438836946448952E-3</v>
      </c>
    </row>
    <row r="29" spans="2:37" x14ac:dyDescent="0.25">
      <c r="B29" s="229" t="s">
        <v>1062</v>
      </c>
      <c r="C29" s="230" t="s">
        <v>535</v>
      </c>
      <c r="D29" s="234">
        <v>8.021013979149351E-4</v>
      </c>
      <c r="E29" s="234">
        <v>8.021013979149351E-4</v>
      </c>
      <c r="F29" s="234">
        <v>8.021013979149351E-4</v>
      </c>
      <c r="G29" s="234">
        <v>7.5324086305284888E-4</v>
      </c>
      <c r="H29" s="234">
        <v>7.0438032819076287E-4</v>
      </c>
      <c r="I29" s="234">
        <v>6.5551979332867654E-4</v>
      </c>
      <c r="J29" s="234">
        <v>6.0665925846659042E-4</v>
      </c>
      <c r="K29" s="234">
        <v>5.5779872360450409E-4</v>
      </c>
      <c r="L29" s="234">
        <v>4.8996315716860858E-4</v>
      </c>
      <c r="M29" s="234">
        <v>4.2212759073271281E-4</v>
      </c>
      <c r="N29" s="234">
        <v>3.5429202429681719E-4</v>
      </c>
      <c r="O29" s="234">
        <v>2.8645645786092152E-4</v>
      </c>
      <c r="P29" s="234">
        <v>2.1862089142502575E-4</v>
      </c>
      <c r="Q29" s="234">
        <v>2.5642237282920443E-4</v>
      </c>
      <c r="R29" s="234">
        <v>2.9422385423338317E-4</v>
      </c>
      <c r="S29" s="234">
        <v>3.3202533563756191E-4</v>
      </c>
      <c r="T29" s="234">
        <v>3.6982681704174049E-4</v>
      </c>
      <c r="U29" s="234">
        <v>4.0762829844591929E-4</v>
      </c>
      <c r="V29" s="234">
        <v>3.969212694263159E-4</v>
      </c>
      <c r="W29" s="234">
        <v>3.862142404067124E-4</v>
      </c>
      <c r="X29" s="234">
        <v>3.7550721138710912E-4</v>
      </c>
      <c r="Y29" s="234">
        <v>3.6480018236750822E-4</v>
      </c>
      <c r="Z29" s="234">
        <v>3.5409315334790489E-4</v>
      </c>
      <c r="AA29" s="234">
        <v>3.6326407572763193E-4</v>
      </c>
      <c r="AB29" s="234">
        <v>3.7243499810735902E-4</v>
      </c>
      <c r="AC29" s="234">
        <v>3.8160592048708876E-4</v>
      </c>
      <c r="AD29" s="234">
        <v>3.9077684286681591E-4</v>
      </c>
      <c r="AE29" s="234">
        <v>3.999477652465456E-4</v>
      </c>
      <c r="AF29" s="234">
        <v>4.0911868762627274E-4</v>
      </c>
      <c r="AG29" s="234">
        <v>4.1828961000599989E-4</v>
      </c>
      <c r="AH29" s="234">
        <v>4.2746053238572969E-4</v>
      </c>
      <c r="AI29" s="234">
        <v>4.3663145476545678E-4</v>
      </c>
      <c r="AJ29" s="234">
        <v>4.4580237714518653E-4</v>
      </c>
      <c r="AK29" s="234">
        <v>4.4827962270695305E-4</v>
      </c>
    </row>
    <row r="30" spans="2:37" x14ac:dyDescent="0.25">
      <c r="B30" s="229" t="s">
        <v>1063</v>
      </c>
      <c r="C30" s="230" t="s">
        <v>535</v>
      </c>
      <c r="D30" s="234">
        <v>1.2652660817070221E-4</v>
      </c>
      <c r="E30" s="234">
        <v>1.107764515865146E-4</v>
      </c>
      <c r="F30" s="234">
        <v>1.1210129563312511E-4</v>
      </c>
      <c r="G30" s="234">
        <v>1.2639406267108861E-4</v>
      </c>
      <c r="H30" s="234">
        <v>1.1996433821956149E-4</v>
      </c>
      <c r="I30" s="234">
        <v>2.86937637844153E-5</v>
      </c>
      <c r="J30" s="234">
        <v>8.2553118091027402E-5</v>
      </c>
      <c r="K30" s="234">
        <v>1.4483658654341222E-4</v>
      </c>
      <c r="L30" s="234">
        <v>3.0134982503208379E-4</v>
      </c>
      <c r="M30" s="234">
        <v>3.6307209886474531E-4</v>
      </c>
      <c r="N30" s="234">
        <v>1.980368999774507E-4</v>
      </c>
      <c r="O30" s="234">
        <v>2.6472980922232284E-4</v>
      </c>
      <c r="P30" s="234">
        <v>2.909344067981033E-4</v>
      </c>
      <c r="Q30" s="234">
        <v>2.7700081322136325E-4</v>
      </c>
      <c r="R30" s="234">
        <v>2.9034633908665505E-4</v>
      </c>
      <c r="S30" s="234">
        <v>2.3287850384282616E-4</v>
      </c>
      <c r="T30" s="234">
        <v>2.4151431806069076E-4</v>
      </c>
      <c r="U30" s="234">
        <v>2.5093419526558443E-4</v>
      </c>
      <c r="V30" s="234">
        <v>3.0550835163961631E-4</v>
      </c>
      <c r="W30" s="234">
        <v>2.9925944378839819E-4</v>
      </c>
      <c r="X30" s="234">
        <v>3.1819680184032127E-4</v>
      </c>
      <c r="Y30" s="234">
        <v>2.9259778495684851E-4</v>
      </c>
      <c r="Z30" s="234">
        <v>3.2494977104322991E-4</v>
      </c>
      <c r="AA30" s="234">
        <v>2.8685054109751126E-4</v>
      </c>
      <c r="AB30" s="234">
        <v>2.7739786587342046E-4</v>
      </c>
      <c r="AC30" s="234">
        <v>2.9865698849983505E-4</v>
      </c>
      <c r="AD30" s="234">
        <v>2.8676671898283658E-4</v>
      </c>
      <c r="AE30" s="234">
        <v>2.6265245564689743E-4</v>
      </c>
      <c r="AF30" s="234">
        <v>2.3825243464925536E-4</v>
      </c>
      <c r="AG30" s="234">
        <v>3.2719579614087633E-4</v>
      </c>
      <c r="AH30" s="234">
        <v>2.3799863915013243E-4</v>
      </c>
      <c r="AI30" s="234">
        <v>3.3083472125398905E-4</v>
      </c>
      <c r="AJ30" s="234">
        <v>2.3098720544675251E-4</v>
      </c>
      <c r="AK30" s="234">
        <v>2.3550361038549245E-4</v>
      </c>
    </row>
    <row r="31" spans="2:37" x14ac:dyDescent="0.25">
      <c r="B31" s="229" t="s">
        <v>1064</v>
      </c>
      <c r="C31" s="230" t="s">
        <v>535</v>
      </c>
      <c r="D31" s="234">
        <v>3.1486876245490043E-5</v>
      </c>
      <c r="E31" s="234">
        <v>3.8140084594935702E-5</v>
      </c>
      <c r="F31" s="234">
        <v>4.5752309089026223E-5</v>
      </c>
      <c r="G31" s="234">
        <v>5.3009495600338207E-5</v>
      </c>
      <c r="H31" s="234">
        <v>6.2948979908077066E-5</v>
      </c>
      <c r="I31" s="234">
        <v>7.2973863712825213E-5</v>
      </c>
      <c r="J31" s="234">
        <v>8.3070490235090264E-5</v>
      </c>
      <c r="K31" s="234">
        <v>9.3093377614569264E-5</v>
      </c>
      <c r="L31" s="234">
        <v>1.076810713193211E-4</v>
      </c>
      <c r="M31" s="234">
        <v>1.2354632926793791E-4</v>
      </c>
      <c r="N31" s="234">
        <v>1.3528645344374959E-4</v>
      </c>
      <c r="O31" s="234">
        <v>1.484637325536741E-4</v>
      </c>
      <c r="P31" s="234">
        <v>1.6202209080660619E-4</v>
      </c>
      <c r="Q31" s="234">
        <v>1.5925041199811691E-4</v>
      </c>
      <c r="R31" s="234">
        <v>1.5475859879268659E-4</v>
      </c>
      <c r="S31" s="234">
        <v>1.4923655216988861E-4</v>
      </c>
      <c r="T31" s="234">
        <v>1.444965995598179E-4</v>
      </c>
      <c r="U31" s="234">
        <v>1.3914407932140389E-4</v>
      </c>
      <c r="V31" s="234">
        <v>1.4118315991762089E-4</v>
      </c>
      <c r="W31" s="234">
        <v>1.4322224051383769E-4</v>
      </c>
      <c r="X31" s="234">
        <v>1.4526132111005469E-4</v>
      </c>
      <c r="Y31" s="234">
        <v>1.4730040170627231E-4</v>
      </c>
      <c r="Z31" s="234">
        <v>1.493394823024893E-4</v>
      </c>
      <c r="AA31" s="234">
        <v>1.4809981398547091E-4</v>
      </c>
      <c r="AB31" s="234">
        <v>1.4686014566845249E-4</v>
      </c>
      <c r="AC31" s="234">
        <v>1.456204773514341E-4</v>
      </c>
      <c r="AD31" s="234">
        <v>1.4438080903441609E-4</v>
      </c>
      <c r="AE31" s="234">
        <v>1.4314114071739759E-4</v>
      </c>
      <c r="AF31" s="234">
        <v>1.419014724003792E-4</v>
      </c>
      <c r="AG31" s="234">
        <v>1.4066180408336081E-4</v>
      </c>
      <c r="AH31" s="234">
        <v>1.3942213576634239E-4</v>
      </c>
      <c r="AI31" s="234">
        <v>1.3818246744932441E-4</v>
      </c>
      <c r="AJ31" s="234">
        <v>1.3694279913230591E-4</v>
      </c>
      <c r="AK31" s="234">
        <v>1.3913905792630959E-4</v>
      </c>
    </row>
    <row r="32" spans="2:37" x14ac:dyDescent="0.25">
      <c r="B32" s="229" t="s">
        <v>1065</v>
      </c>
      <c r="C32" s="230" t="s">
        <v>535</v>
      </c>
      <c r="D32" s="234">
        <v>1.5622720453073455E-5</v>
      </c>
      <c r="E32" s="234">
        <v>1.6028228224396395E-5</v>
      </c>
      <c r="F32" s="234">
        <v>1.6433735995719336E-5</v>
      </c>
      <c r="G32" s="234">
        <v>1.903752273789825E-5</v>
      </c>
      <c r="H32" s="234">
        <v>2.164130948007716E-5</v>
      </c>
      <c r="I32" s="234">
        <v>2.424509622225607E-5</v>
      </c>
      <c r="J32" s="234">
        <v>2.684888296443497E-5</v>
      </c>
      <c r="K32" s="234">
        <v>2.9452669706613877E-5</v>
      </c>
      <c r="L32" s="234">
        <v>2.7164752175781261E-5</v>
      </c>
      <c r="M32" s="234">
        <v>2.4876834644948652E-5</v>
      </c>
      <c r="N32" s="234">
        <v>2.2588917114116039E-5</v>
      </c>
      <c r="O32" s="234">
        <v>2.030099958328342E-5</v>
      </c>
      <c r="P32" s="234">
        <v>1.801308205245081E-5</v>
      </c>
      <c r="Q32" s="234">
        <v>2.2473667537003189E-5</v>
      </c>
      <c r="R32" s="234">
        <v>2.6934253021555601E-5</v>
      </c>
      <c r="S32" s="234">
        <v>3.1394838506107977E-5</v>
      </c>
      <c r="T32" s="234">
        <v>3.5855423990660379E-5</v>
      </c>
      <c r="U32" s="234">
        <v>4.0316009475212781E-5</v>
      </c>
      <c r="V32" s="234">
        <v>4.0192222892387894E-5</v>
      </c>
      <c r="W32" s="234">
        <v>4.006843630956302E-5</v>
      </c>
      <c r="X32" s="234">
        <v>3.9944649726738092E-5</v>
      </c>
      <c r="Y32" s="234">
        <v>3.9820863143913204E-5</v>
      </c>
      <c r="Z32" s="234">
        <v>3.9697076561088276E-5</v>
      </c>
      <c r="AA32" s="234">
        <v>4.1596560332022073E-5</v>
      </c>
      <c r="AB32" s="234">
        <v>4.3496044102955857E-5</v>
      </c>
      <c r="AC32" s="234">
        <v>4.5395527873889668E-5</v>
      </c>
      <c r="AD32" s="234">
        <v>4.7295011644823459E-5</v>
      </c>
      <c r="AE32" s="234">
        <v>4.919449541575725E-5</v>
      </c>
      <c r="AF32" s="234">
        <v>5.109397918669104E-5</v>
      </c>
      <c r="AG32" s="234">
        <v>5.2993462957624845E-5</v>
      </c>
      <c r="AH32" s="234">
        <v>5.4892946728558642E-5</v>
      </c>
      <c r="AI32" s="234">
        <v>5.6792430499492426E-5</v>
      </c>
      <c r="AJ32" s="234">
        <v>5.8691914270426223E-5</v>
      </c>
      <c r="AK32" s="234">
        <v>5.9535537320734027E-5</v>
      </c>
    </row>
    <row r="33" spans="2:37" x14ac:dyDescent="0.25">
      <c r="B33" s="229" t="s">
        <v>1066</v>
      </c>
      <c r="C33" s="230" t="s">
        <v>535</v>
      </c>
      <c r="D33" s="234">
        <v>1.4120591710296693E-2</v>
      </c>
      <c r="E33" s="234">
        <v>1.4866034403378678E-2</v>
      </c>
      <c r="F33" s="234">
        <v>1.6931976013700615E-2</v>
      </c>
      <c r="G33" s="234">
        <v>1.9074245977548955E-2</v>
      </c>
      <c r="H33" s="234">
        <v>2.2136191738126122E-2</v>
      </c>
      <c r="I33" s="234">
        <v>2.3081700602876908E-2</v>
      </c>
      <c r="J33" s="234">
        <v>2.4638791408724544E-2</v>
      </c>
      <c r="K33" s="234">
        <v>2.6891180997376741E-2</v>
      </c>
      <c r="L33" s="234">
        <v>3.0793985964835999E-2</v>
      </c>
      <c r="M33" s="234">
        <v>3.4818608410732657E-2</v>
      </c>
      <c r="N33" s="234">
        <v>3.5817890836407157E-2</v>
      </c>
      <c r="O33" s="234">
        <v>3.2855978665883065E-2</v>
      </c>
      <c r="P33" s="234">
        <v>2.7441705224211826E-2</v>
      </c>
      <c r="Q33" s="234">
        <v>2.8436474114218839E-2</v>
      </c>
      <c r="R33" s="234">
        <v>2.5222109489500981E-2</v>
      </c>
      <c r="S33" s="234">
        <v>2.3358250969376684E-2</v>
      </c>
      <c r="T33" s="234">
        <v>2.1807704350523045E-2</v>
      </c>
      <c r="U33" s="234">
        <v>2.3373926410649001E-2</v>
      </c>
      <c r="V33" s="234">
        <v>1.499829766113457E-2</v>
      </c>
      <c r="W33" s="234">
        <v>1.2686401399561955E-2</v>
      </c>
      <c r="X33" s="234">
        <v>8.9005886383595259E-3</v>
      </c>
      <c r="Y33" s="234">
        <v>6.4065718415075735E-3</v>
      </c>
      <c r="Z33" s="234">
        <v>2.1471862867355937E-3</v>
      </c>
      <c r="AA33" s="234">
        <v>2.0307591961330734E-3</v>
      </c>
      <c r="AB33" s="234">
        <v>1.8814129564757231E-3</v>
      </c>
      <c r="AC33" s="234">
        <v>2.2964568306609867E-3</v>
      </c>
      <c r="AD33" s="234">
        <v>2.7848339847289876E-3</v>
      </c>
      <c r="AE33" s="234">
        <v>2.3036052239883199E-3</v>
      </c>
      <c r="AF33" s="234">
        <v>2.6154294180073456E-3</v>
      </c>
      <c r="AG33" s="234">
        <v>1.5778576142532171E-3</v>
      </c>
      <c r="AH33" s="234">
        <v>1.1642940804078871E-3</v>
      </c>
      <c r="AI33" s="234">
        <v>1.1020161567931344E-3</v>
      </c>
      <c r="AJ33" s="234">
        <v>1.1756748142969474E-3</v>
      </c>
      <c r="AK33" s="234">
        <v>1.1859185229572352E-3</v>
      </c>
    </row>
    <row r="34" spans="2:37" ht="18" hidden="1" x14ac:dyDescent="0.35">
      <c r="B34" s="236"/>
      <c r="C34" s="230" t="s">
        <v>1068</v>
      </c>
      <c r="D34" s="234">
        <v>0.40318026471268581</v>
      </c>
      <c r="E34" s="234">
        <v>0.48692043026621362</v>
      </c>
      <c r="F34" s="234">
        <v>0.55981741829286624</v>
      </c>
      <c r="G34" s="234">
        <v>0.69226896322834319</v>
      </c>
      <c r="H34" s="234">
        <v>0.85154041266924674</v>
      </c>
      <c r="I34" s="234">
        <v>0.91787056478525131</v>
      </c>
      <c r="J34" s="234">
        <v>1.044815969862791</v>
      </c>
      <c r="K34" s="234">
        <v>1.0605711253225727</v>
      </c>
      <c r="L34" s="234">
        <v>1.1616068022367085</v>
      </c>
      <c r="M34" s="234">
        <v>1.1736258771412131</v>
      </c>
      <c r="N34" s="234">
        <v>1.2830138039469308</v>
      </c>
      <c r="O34" s="234">
        <v>1.3678337875274778</v>
      </c>
      <c r="P34" s="234">
        <v>1.4540480658075932</v>
      </c>
      <c r="Q34" s="234">
        <v>1.5507140127895847</v>
      </c>
      <c r="R34" s="234">
        <v>1.4167084187859691</v>
      </c>
      <c r="S34" s="234">
        <v>1.410416544271188</v>
      </c>
      <c r="T34" s="234">
        <v>1.4607653140122367</v>
      </c>
      <c r="U34" s="234">
        <v>1.5495803733718356</v>
      </c>
      <c r="V34" s="234">
        <v>1.4505874867684472</v>
      </c>
      <c r="W34" s="234">
        <v>1.4742011652334999</v>
      </c>
      <c r="X34" s="234">
        <v>1.3782340795084749</v>
      </c>
      <c r="Y34" s="234">
        <v>1.3759040204865485</v>
      </c>
      <c r="Z34" s="234">
        <v>1.3501199677400222</v>
      </c>
      <c r="AA34" s="234">
        <v>1.2182503127841302</v>
      </c>
      <c r="AB34" s="234">
        <v>1.1782687966170373</v>
      </c>
      <c r="AC34" s="234">
        <v>1.1227919740669914</v>
      </c>
      <c r="AD34" s="234">
        <v>1.0509892646847541</v>
      </c>
      <c r="AE34" s="234">
        <v>1.0834648707449679</v>
      </c>
      <c r="AF34" s="234">
        <v>1.1232151389285918</v>
      </c>
      <c r="AG34" s="234">
        <v>1.1268359742417391</v>
      </c>
      <c r="AH34" s="234">
        <v>1.1377302015756166</v>
      </c>
      <c r="AI34" s="234">
        <v>1.1453618528566587</v>
      </c>
      <c r="AJ34" s="234">
        <v>0.99480094836457877</v>
      </c>
      <c r="AK34" s="234">
        <v>0.99599105595920234</v>
      </c>
    </row>
    <row r="35" spans="2:37" ht="18" hidden="1" x14ac:dyDescent="0.35">
      <c r="B35" s="229" t="s">
        <v>1057</v>
      </c>
      <c r="C35" s="230" t="s">
        <v>1068</v>
      </c>
      <c r="D35" s="234">
        <v>2.7422976901776471E-2</v>
      </c>
      <c r="E35" s="234">
        <v>2.598056488671685E-2</v>
      </c>
      <c r="F35" s="234">
        <v>2.6456342306343E-2</v>
      </c>
      <c r="G35" s="234">
        <v>2.7085873930594181E-2</v>
      </c>
      <c r="H35" s="234">
        <v>2.8541124182946478E-2</v>
      </c>
      <c r="I35" s="234">
        <v>2.9216839418765579E-2</v>
      </c>
      <c r="J35" s="234">
        <v>2.8630649543899371E-2</v>
      </c>
      <c r="K35" s="234">
        <v>2.8468082416115481E-2</v>
      </c>
      <c r="L35" s="234">
        <v>2.7668884402968941E-2</v>
      </c>
      <c r="M35" s="234">
        <v>2.7915762833083651E-2</v>
      </c>
      <c r="N35" s="234">
        <v>2.68846654606676E-2</v>
      </c>
      <c r="O35" s="234">
        <v>2.5552741659810078E-2</v>
      </c>
      <c r="P35" s="234">
        <v>2.4461124018217251E-2</v>
      </c>
      <c r="Q35" s="234">
        <v>2.4317959227885891E-2</v>
      </c>
      <c r="R35" s="234">
        <v>2.3492771103621E-2</v>
      </c>
      <c r="S35" s="234">
        <v>2.448002031060037E-2</v>
      </c>
      <c r="T35" s="234">
        <v>2.6239175165502341E-2</v>
      </c>
      <c r="U35" s="234">
        <v>2.5683335101106038E-2</v>
      </c>
      <c r="V35" s="234">
        <v>2.796898692620978E-2</v>
      </c>
      <c r="W35" s="234">
        <v>2.339650577845399E-2</v>
      </c>
      <c r="X35" s="234">
        <v>2.1246963002423552E-2</v>
      </c>
      <c r="Y35" s="234">
        <v>2.0701538756429411E-2</v>
      </c>
      <c r="Z35" s="234">
        <v>1.9117500407070949E-2</v>
      </c>
      <c r="AA35" s="234">
        <v>1.845439844431513E-2</v>
      </c>
      <c r="AB35" s="234">
        <v>1.6108221100888501E-2</v>
      </c>
      <c r="AC35" s="234">
        <v>1.6804718562828658E-2</v>
      </c>
      <c r="AD35" s="234">
        <v>1.7857134436185071E-2</v>
      </c>
      <c r="AE35" s="234">
        <v>1.9034450854683849E-2</v>
      </c>
      <c r="AF35" s="234">
        <v>2.0716932356156351E-2</v>
      </c>
      <c r="AG35" s="234">
        <v>2.0013274139319751E-2</v>
      </c>
      <c r="AH35" s="234">
        <v>1.93221636673543E-2</v>
      </c>
      <c r="AI35" s="234">
        <v>1.8591682098534061E-2</v>
      </c>
      <c r="AJ35" s="234">
        <v>1.803773288605556E-2</v>
      </c>
      <c r="AK35" s="234">
        <v>1.7426779916576221E-2</v>
      </c>
    </row>
    <row r="36" spans="2:37" ht="18" hidden="1" x14ac:dyDescent="0.35">
      <c r="B36" s="229" t="s">
        <v>1059</v>
      </c>
      <c r="C36" s="230" t="s">
        <v>1068</v>
      </c>
      <c r="D36" s="234">
        <v>0.35715423807800861</v>
      </c>
      <c r="E36" s="234">
        <v>0.44178544241514872</v>
      </c>
      <c r="F36" s="234">
        <v>0.51228524818113075</v>
      </c>
      <c r="G36" s="234">
        <v>0.64222153914499225</v>
      </c>
      <c r="H36" s="234">
        <v>0.79693329049324857</v>
      </c>
      <c r="I36" s="234">
        <v>0.86167805936262032</v>
      </c>
      <c r="J36" s="234">
        <v>0.98780294947802894</v>
      </c>
      <c r="K36" s="234">
        <v>1.001365582882507</v>
      </c>
      <c r="L36" s="234">
        <v>1.099227591533948</v>
      </c>
      <c r="M36" s="234">
        <v>1.1073034733562579</v>
      </c>
      <c r="N36" s="234">
        <v>1.2172197650015211</v>
      </c>
      <c r="O36" s="234">
        <v>1.3067548540288241</v>
      </c>
      <c r="P36" s="234">
        <v>1.3996609368038051</v>
      </c>
      <c r="Q36" s="234">
        <v>1.4956617500666769</v>
      </c>
      <c r="R36" s="234">
        <v>1.3659039114180971</v>
      </c>
      <c r="S36" s="234">
        <v>1.360625620184998</v>
      </c>
      <c r="T36" s="234">
        <v>1.4107932753933641</v>
      </c>
      <c r="U36" s="234">
        <v>1.499032343472064</v>
      </c>
      <c r="V36" s="234">
        <v>1.405617249182586</v>
      </c>
      <c r="W36" s="234">
        <v>1.4360392418674031</v>
      </c>
      <c r="X36" s="234">
        <v>1.3456892234108919</v>
      </c>
      <c r="Y36" s="234">
        <v>1.346335130193647</v>
      </c>
      <c r="Z36" s="234">
        <v>1.326174481590122</v>
      </c>
      <c r="AA36" s="234">
        <v>1.1951769428451231</v>
      </c>
      <c r="AB36" s="234">
        <v>1.1578159791220699</v>
      </c>
      <c r="AC36" s="234">
        <v>1.1012523263760059</v>
      </c>
      <c r="AD36" s="234">
        <v>1.028056978170697</v>
      </c>
      <c r="AE36" s="234">
        <v>1.059855163167672</v>
      </c>
      <c r="AF36" s="234">
        <v>1.0977259649827711</v>
      </c>
      <c r="AG36" s="234">
        <v>1.1028857023158281</v>
      </c>
      <c r="AH36" s="234">
        <v>1.1149583445979421</v>
      </c>
      <c r="AI36" s="234">
        <v>1.12341526645236</v>
      </c>
      <c r="AJ36" s="234">
        <v>0.97343857748624729</v>
      </c>
      <c r="AK36" s="234">
        <v>0.97529882592639616</v>
      </c>
    </row>
    <row r="37" spans="2:37" ht="18" hidden="1" x14ac:dyDescent="0.35">
      <c r="B37" s="229" t="s">
        <v>1060</v>
      </c>
      <c r="C37" s="230" t="s">
        <v>1068</v>
      </c>
      <c r="D37" s="234">
        <v>3.4977657258954708E-3</v>
      </c>
      <c r="E37" s="234">
        <v>3.2954365728333911E-3</v>
      </c>
      <c r="F37" s="234">
        <v>3.217087780444835E-3</v>
      </c>
      <c r="G37" s="234">
        <v>2.8713511754132701E-3</v>
      </c>
      <c r="H37" s="234">
        <v>2.85826703685936E-3</v>
      </c>
      <c r="I37" s="234">
        <v>2.762328645947392E-3</v>
      </c>
      <c r="J37" s="234">
        <v>2.459254624140286E-3</v>
      </c>
      <c r="K37" s="234">
        <v>2.4138874159138398E-3</v>
      </c>
      <c r="L37" s="234">
        <v>2.402773318383638E-3</v>
      </c>
      <c r="M37" s="234">
        <v>2.23690916474048E-3</v>
      </c>
      <c r="N37" s="234">
        <v>2.1480573443101972E-3</v>
      </c>
      <c r="O37" s="234">
        <v>1.7477226778667781E-3</v>
      </c>
      <c r="P37" s="234">
        <v>1.5570976063950821E-3</v>
      </c>
      <c r="Q37" s="234">
        <v>1.498432447079229E-3</v>
      </c>
      <c r="R37" s="234">
        <v>1.313531999160457E-3</v>
      </c>
      <c r="S37" s="234">
        <v>1.2160176851350229E-3</v>
      </c>
      <c r="T37" s="234">
        <v>1.286229948369593E-3</v>
      </c>
      <c r="U37" s="234">
        <v>1.0673242579783289E-3</v>
      </c>
      <c r="V37" s="234">
        <v>1.0558750108724819E-3</v>
      </c>
      <c r="W37" s="234">
        <v>9.7465385618998362E-4</v>
      </c>
      <c r="X37" s="234">
        <v>9.7465385618998362E-4</v>
      </c>
      <c r="Y37" s="234">
        <v>8.5282212416623571E-4</v>
      </c>
      <c r="Z37" s="234">
        <v>7.309903921424878E-4</v>
      </c>
      <c r="AA37" s="234">
        <v>7.309903921424878E-4</v>
      </c>
      <c r="AB37" s="234">
        <v>6.5789135292823912E-4</v>
      </c>
      <c r="AC37" s="234">
        <v>7.309903921424878E-4</v>
      </c>
      <c r="AD37" s="234">
        <v>7.309903921424878E-4</v>
      </c>
      <c r="AE37" s="234">
        <v>7.8784520042023663E-4</v>
      </c>
      <c r="AF37" s="234">
        <v>7.7972308495198703E-4</v>
      </c>
      <c r="AG37" s="234">
        <v>8.1221154682498641E-4</v>
      </c>
      <c r="AH37" s="234">
        <v>7.71600969483737E-4</v>
      </c>
      <c r="AI37" s="234">
        <v>6.903798148012385E-4</v>
      </c>
      <c r="AJ37" s="234">
        <v>7.309903921424878E-4</v>
      </c>
      <c r="AK37" s="234">
        <v>7.40371315240071E-4</v>
      </c>
    </row>
    <row r="38" spans="2:37" ht="18" hidden="1" x14ac:dyDescent="0.35">
      <c r="B38" s="229" t="s">
        <v>1061</v>
      </c>
      <c r="C38" s="230" t="s">
        <v>1068</v>
      </c>
      <c r="D38" s="234">
        <v>2.3493957823248791E-3</v>
      </c>
      <c r="E38" s="234">
        <v>2.2418510585832572E-3</v>
      </c>
      <c r="F38" s="234">
        <v>2.1343063348416352E-3</v>
      </c>
      <c r="G38" s="234">
        <v>2.2003601022211662E-3</v>
      </c>
      <c r="H38" s="234">
        <v>2.2664138696006958E-3</v>
      </c>
      <c r="I38" s="234">
        <v>2.3324676369802259E-3</v>
      </c>
      <c r="J38" s="234">
        <v>2.398521404359756E-3</v>
      </c>
      <c r="K38" s="234">
        <v>2.464575171739287E-3</v>
      </c>
      <c r="L38" s="234">
        <v>2.4526749843545798E-3</v>
      </c>
      <c r="M38" s="234">
        <v>2.3455845798880468E-3</v>
      </c>
      <c r="N38" s="234">
        <v>2.2394223900375231E-3</v>
      </c>
      <c r="O38" s="234">
        <v>2.1341884148030048E-3</v>
      </c>
      <c r="P38" s="234">
        <v>2.0298826541844941E-3</v>
      </c>
      <c r="Q38" s="234">
        <v>1.993562664094816E-3</v>
      </c>
      <c r="R38" s="234">
        <v>1.951673386309094E-3</v>
      </c>
      <c r="S38" s="234">
        <v>1.9042148208273291E-3</v>
      </c>
      <c r="T38" s="234">
        <v>1.851186967649522E-3</v>
      </c>
      <c r="U38" s="234">
        <v>1.792589826775671E-3</v>
      </c>
      <c r="V38" s="234">
        <v>1.666686359405093E-3</v>
      </c>
      <c r="W38" s="234">
        <v>1.6485040064324369E-3</v>
      </c>
      <c r="X38" s="234">
        <v>1.630321653459789E-3</v>
      </c>
      <c r="Y38" s="234">
        <v>1.612139300487132E-3</v>
      </c>
      <c r="Z38" s="234">
        <v>1.5939569475144841E-3</v>
      </c>
      <c r="AA38" s="234">
        <v>1.5477185891253379E-3</v>
      </c>
      <c r="AB38" s="234">
        <v>1.5014802307361909E-3</v>
      </c>
      <c r="AC38" s="234">
        <v>1.455241872347045E-3</v>
      </c>
      <c r="AD38" s="234">
        <v>1.409003513957885E-3</v>
      </c>
      <c r="AE38" s="234">
        <v>1.362765155568738E-3</v>
      </c>
      <c r="AF38" s="234">
        <v>1.316526797179592E-3</v>
      </c>
      <c r="AG38" s="234">
        <v>1.2702884387904461E-3</v>
      </c>
      <c r="AH38" s="234">
        <v>1.2240500804012999E-3</v>
      </c>
      <c r="AI38" s="234">
        <v>1.1778117220121391E-3</v>
      </c>
      <c r="AJ38" s="234">
        <v>1.131573363622992E-3</v>
      </c>
      <c r="AK38" s="234">
        <v>1.047076752415103E-3</v>
      </c>
    </row>
    <row r="39" spans="2:37" ht="18" hidden="1" x14ac:dyDescent="0.35">
      <c r="B39" s="229" t="s">
        <v>1062</v>
      </c>
      <c r="C39" s="230" t="s">
        <v>1068</v>
      </c>
      <c r="D39" s="234">
        <v>2.5163731505158408E-4</v>
      </c>
      <c r="E39" s="234">
        <v>2.5163731505158408E-4</v>
      </c>
      <c r="F39" s="234">
        <v>2.5163731505158408E-4</v>
      </c>
      <c r="G39" s="234">
        <v>2.363086622944129E-4</v>
      </c>
      <c r="H39" s="234">
        <v>2.2098000953724159E-4</v>
      </c>
      <c r="I39" s="234">
        <v>2.056513567800703E-4</v>
      </c>
      <c r="J39" s="234">
        <v>1.903227040228991E-4</v>
      </c>
      <c r="K39" s="234">
        <v>1.7499405126572781E-4</v>
      </c>
      <c r="L39" s="234">
        <v>1.5371250276412251E-4</v>
      </c>
      <c r="M39" s="234">
        <v>1.324309542625171E-4</v>
      </c>
      <c r="N39" s="234">
        <v>1.111494057609118E-4</v>
      </c>
      <c r="O39" s="234">
        <v>8.9867857259306414E-5</v>
      </c>
      <c r="P39" s="234">
        <v>6.8586308757701044E-5</v>
      </c>
      <c r="Q39" s="234">
        <v>8.0445486799588358E-5</v>
      </c>
      <c r="R39" s="234">
        <v>9.2304664841475671E-5</v>
      </c>
      <c r="S39" s="234">
        <v>1.04163842883363E-4</v>
      </c>
      <c r="T39" s="234">
        <v>1.160230209252503E-4</v>
      </c>
      <c r="U39" s="234">
        <v>1.2788219896713761E-4</v>
      </c>
      <c r="V39" s="234">
        <v>1.2452316226470051E-4</v>
      </c>
      <c r="W39" s="234">
        <v>1.211641255622633E-4</v>
      </c>
      <c r="X39" s="234">
        <v>1.178050888598262E-4</v>
      </c>
      <c r="Y39" s="234">
        <v>1.1444605215738991E-4</v>
      </c>
      <c r="Z39" s="234">
        <v>1.110870154549528E-4</v>
      </c>
      <c r="AA39" s="234">
        <v>1.139641408286025E-4</v>
      </c>
      <c r="AB39" s="234">
        <v>1.168412662022523E-4</v>
      </c>
      <c r="AC39" s="234">
        <v>1.197183915759029E-4</v>
      </c>
      <c r="AD39" s="234">
        <v>1.2259551694955269E-4</v>
      </c>
      <c r="AE39" s="234">
        <v>1.2547264232320329E-4</v>
      </c>
      <c r="AF39" s="234">
        <v>1.283497676968531E-4</v>
      </c>
      <c r="AG39" s="234">
        <v>1.3122689307050291E-4</v>
      </c>
      <c r="AH39" s="234">
        <v>1.341040184441535E-4</v>
      </c>
      <c r="AI39" s="234">
        <v>1.369811438178032E-4</v>
      </c>
      <c r="AJ39" s="234">
        <v>1.398582691914538E-4</v>
      </c>
      <c r="AK39" s="234">
        <v>1.4063543704517759E-4</v>
      </c>
    </row>
    <row r="40" spans="2:37" ht="18" hidden="1" x14ac:dyDescent="0.35">
      <c r="B40" s="229" t="s">
        <v>1063</v>
      </c>
      <c r="C40" s="230" t="s">
        <v>1068</v>
      </c>
      <c r="D40" s="234">
        <v>1.2652660817070221E-4</v>
      </c>
      <c r="E40" s="234">
        <v>1.107764515865146E-4</v>
      </c>
      <c r="F40" s="234">
        <v>1.1210129563312511E-4</v>
      </c>
      <c r="G40" s="234">
        <v>1.2639406267108861E-4</v>
      </c>
      <c r="H40" s="234">
        <v>1.1996433821956149E-4</v>
      </c>
      <c r="I40" s="234">
        <v>2.86937637844153E-5</v>
      </c>
      <c r="J40" s="234">
        <v>7.9098744752075474E-5</v>
      </c>
      <c r="K40" s="234">
        <v>1.3774130916526561E-4</v>
      </c>
      <c r="L40" s="234">
        <v>2.8557179656021718E-4</v>
      </c>
      <c r="M40" s="234">
        <v>3.4235728571336649E-4</v>
      </c>
      <c r="N40" s="234">
        <v>1.871045242367781E-4</v>
      </c>
      <c r="O40" s="234">
        <v>2.4961760346100658E-4</v>
      </c>
      <c r="P40" s="234">
        <v>2.7386413408527112E-4</v>
      </c>
      <c r="Q40" s="234">
        <v>2.6064621383838261E-4</v>
      </c>
      <c r="R40" s="234">
        <v>2.7154595484564969E-4</v>
      </c>
      <c r="S40" s="234">
        <v>2.179252539484356E-4</v>
      </c>
      <c r="T40" s="234">
        <v>2.256529070109174E-4</v>
      </c>
      <c r="U40" s="234">
        <v>2.341433503740548E-4</v>
      </c>
      <c r="V40" s="234">
        <v>2.8562655620278428E-4</v>
      </c>
      <c r="W40" s="234">
        <v>2.8019658816829551E-4</v>
      </c>
      <c r="X40" s="234">
        <v>2.9924472166007517E-4</v>
      </c>
      <c r="Y40" s="234">
        <v>2.751325373392795E-4</v>
      </c>
      <c r="Z40" s="234">
        <v>3.0576448256893282E-4</v>
      </c>
      <c r="AA40" s="234">
        <v>2.6962422672304549E-4</v>
      </c>
      <c r="AB40" s="234">
        <v>2.6045435517178968E-4</v>
      </c>
      <c r="AC40" s="234">
        <v>2.8006260883401779E-4</v>
      </c>
      <c r="AD40" s="234">
        <v>2.681163631876348E-4</v>
      </c>
      <c r="AE40" s="234">
        <v>2.4562623830850751E-4</v>
      </c>
      <c r="AF40" s="234">
        <v>2.238620504310374E-4</v>
      </c>
      <c r="AG40" s="234">
        <v>3.064775508071425E-4</v>
      </c>
      <c r="AH40" s="234">
        <v>2.2301030621205389E-4</v>
      </c>
      <c r="AI40" s="234">
        <v>3.1078874879356648E-4</v>
      </c>
      <c r="AJ40" s="234">
        <v>2.1664976418533569E-4</v>
      </c>
      <c r="AK40" s="234">
        <v>2.2086901843736671E-4</v>
      </c>
    </row>
    <row r="41" spans="2:37" ht="18" hidden="1" x14ac:dyDescent="0.35">
      <c r="B41" s="229" t="s">
        <v>1064</v>
      </c>
      <c r="C41" s="230" t="s">
        <v>1068</v>
      </c>
      <c r="D41" s="234">
        <v>3.1486876245490043E-5</v>
      </c>
      <c r="E41" s="234">
        <v>3.8140084594935702E-5</v>
      </c>
      <c r="F41" s="234">
        <v>4.5752309089026223E-5</v>
      </c>
      <c r="G41" s="234">
        <v>5.3009495600338207E-5</v>
      </c>
      <c r="H41" s="234">
        <v>6.2948979908077066E-5</v>
      </c>
      <c r="I41" s="234">
        <v>7.2973863712825213E-5</v>
      </c>
      <c r="J41" s="234">
        <v>8.3070490235090264E-5</v>
      </c>
      <c r="K41" s="234">
        <v>9.3093377614569264E-5</v>
      </c>
      <c r="L41" s="234">
        <v>1.076810713193211E-4</v>
      </c>
      <c r="M41" s="234">
        <v>1.2354632926793791E-4</v>
      </c>
      <c r="N41" s="234">
        <v>1.3528645344374959E-4</v>
      </c>
      <c r="O41" s="234">
        <v>1.484637325536741E-4</v>
      </c>
      <c r="P41" s="234">
        <v>1.6202209080660619E-4</v>
      </c>
      <c r="Q41" s="234">
        <v>1.5925041199811691E-4</v>
      </c>
      <c r="R41" s="234">
        <v>1.5475859879268659E-4</v>
      </c>
      <c r="S41" s="234">
        <v>1.4923655216988861E-4</v>
      </c>
      <c r="T41" s="234">
        <v>1.444965995598179E-4</v>
      </c>
      <c r="U41" s="234">
        <v>1.3914407932140389E-4</v>
      </c>
      <c r="V41" s="234">
        <v>1.4118315991762089E-4</v>
      </c>
      <c r="W41" s="234">
        <v>1.4322224051383769E-4</v>
      </c>
      <c r="X41" s="234">
        <v>1.4526132111005469E-4</v>
      </c>
      <c r="Y41" s="234">
        <v>1.4730040170627231E-4</v>
      </c>
      <c r="Z41" s="234">
        <v>1.493394823024893E-4</v>
      </c>
      <c r="AA41" s="234">
        <v>1.4809981398547091E-4</v>
      </c>
      <c r="AB41" s="234">
        <v>1.4686014566845249E-4</v>
      </c>
      <c r="AC41" s="234">
        <v>1.456204773514341E-4</v>
      </c>
      <c r="AD41" s="234">
        <v>1.4438080903441609E-4</v>
      </c>
      <c r="AE41" s="234">
        <v>1.4314114071739759E-4</v>
      </c>
      <c r="AF41" s="234">
        <v>1.419014724003792E-4</v>
      </c>
      <c r="AG41" s="234">
        <v>1.4066180408336081E-4</v>
      </c>
      <c r="AH41" s="234">
        <v>1.3942213576634239E-4</v>
      </c>
      <c r="AI41" s="234">
        <v>1.3818246744932441E-4</v>
      </c>
      <c r="AJ41" s="234">
        <v>1.3694279913230591E-4</v>
      </c>
      <c r="AK41" s="234">
        <v>1.3913905792630959E-4</v>
      </c>
    </row>
    <row r="42" spans="2:37" ht="18" hidden="1" x14ac:dyDescent="0.35">
      <c r="B42" s="229" t="s">
        <v>1065</v>
      </c>
      <c r="C42" s="230" t="s">
        <v>1068</v>
      </c>
      <c r="D42" s="234">
        <v>7.8762961442546849E-6</v>
      </c>
      <c r="E42" s="234">
        <v>8.0807355250481797E-6</v>
      </c>
      <c r="F42" s="234">
        <v>8.285174905841671E-6</v>
      </c>
      <c r="G42" s="234">
        <v>9.5978909298841225E-6</v>
      </c>
      <c r="H42" s="234">
        <v>1.0910606953926571E-5</v>
      </c>
      <c r="I42" s="234">
        <v>1.222332297796902E-5</v>
      </c>
      <c r="J42" s="234">
        <v>1.353603900201146E-5</v>
      </c>
      <c r="K42" s="234">
        <v>1.484875502605391E-5</v>
      </c>
      <c r="L42" s="234">
        <v>1.369528651968218E-5</v>
      </c>
      <c r="M42" s="234">
        <v>1.254181801331046E-5</v>
      </c>
      <c r="N42" s="234">
        <v>1.1388349506938739E-5</v>
      </c>
      <c r="O42" s="234">
        <v>1.023488100056701E-5</v>
      </c>
      <c r="P42" s="234">
        <v>9.0814124941952883E-6</v>
      </c>
      <c r="Q42" s="234">
        <v>1.1330245682923739E-5</v>
      </c>
      <c r="R42" s="234">
        <v>1.35790788716522E-5</v>
      </c>
      <c r="S42" s="234">
        <v>1.582791206038065E-5</v>
      </c>
      <c r="T42" s="234">
        <v>1.8076745249109109E-5</v>
      </c>
      <c r="U42" s="234">
        <v>2.0325578437837568E-5</v>
      </c>
      <c r="V42" s="234">
        <v>2.02631706268585E-5</v>
      </c>
      <c r="W42" s="234">
        <v>2.0200762815879449E-5</v>
      </c>
      <c r="X42" s="234">
        <v>2.0138355004900371E-5</v>
      </c>
      <c r="Y42" s="234">
        <v>2.0075947193921309E-5</v>
      </c>
      <c r="Z42" s="234">
        <v>2.0013539382942231E-5</v>
      </c>
      <c r="AA42" s="234">
        <v>2.0971176482448599E-5</v>
      </c>
      <c r="AB42" s="234">
        <v>2.1928813581954981E-5</v>
      </c>
      <c r="AC42" s="234">
        <v>2.2886450681461359E-5</v>
      </c>
      <c r="AD42" s="234">
        <v>2.384408778096773E-5</v>
      </c>
      <c r="AE42" s="234">
        <v>2.4801724880474109E-5</v>
      </c>
      <c r="AF42" s="234">
        <v>2.575936197998048E-5</v>
      </c>
      <c r="AG42" s="234">
        <v>2.6716999079486858E-5</v>
      </c>
      <c r="AH42" s="234">
        <v>2.767463617899324E-5</v>
      </c>
      <c r="AI42" s="234">
        <v>2.8632273278499601E-5</v>
      </c>
      <c r="AJ42" s="234">
        <v>2.958991037800599E-5</v>
      </c>
      <c r="AK42" s="234">
        <v>3.0015228426696839E-5</v>
      </c>
    </row>
    <row r="43" spans="2:37" ht="18" hidden="1" x14ac:dyDescent="0.35">
      <c r="B43" s="229" t="s">
        <v>1066</v>
      </c>
      <c r="C43" s="230" t="s">
        <v>1068</v>
      </c>
      <c r="D43" s="234">
        <v>1.2338361129068351E-2</v>
      </c>
      <c r="E43" s="234">
        <v>1.320850074617338E-2</v>
      </c>
      <c r="F43" s="234">
        <v>1.5306657595426369E-2</v>
      </c>
      <c r="G43" s="234">
        <v>1.7464528763626599E-2</v>
      </c>
      <c r="H43" s="234">
        <v>2.0526513151972809E-2</v>
      </c>
      <c r="I43" s="234">
        <v>2.156132741368243E-2</v>
      </c>
      <c r="J43" s="234">
        <v>2.315856683435032E-2</v>
      </c>
      <c r="K43" s="234">
        <v>2.543831994322546E-2</v>
      </c>
      <c r="L43" s="234">
        <v>2.9294217339889999E-2</v>
      </c>
      <c r="M43" s="234">
        <v>3.321327081998604E-2</v>
      </c>
      <c r="N43" s="234">
        <v>3.4076965017445962E-2</v>
      </c>
      <c r="O43" s="234">
        <v>3.114609667189934E-2</v>
      </c>
      <c r="P43" s="234">
        <v>2.582547077884749E-2</v>
      </c>
      <c r="Q43" s="234">
        <v>2.673063602552881E-2</v>
      </c>
      <c r="R43" s="234">
        <v>2.3514342581429881E-2</v>
      </c>
      <c r="S43" s="234">
        <v>2.170351770856534E-2</v>
      </c>
      <c r="T43" s="234">
        <v>2.0091197264606349E-2</v>
      </c>
      <c r="U43" s="234">
        <v>2.1483285506811011E-2</v>
      </c>
      <c r="V43" s="234">
        <v>1.370709324036202E-2</v>
      </c>
      <c r="W43" s="234">
        <v>1.1577476007960269E-2</v>
      </c>
      <c r="X43" s="234">
        <v>8.1104680988748935E-3</v>
      </c>
      <c r="Y43" s="234">
        <v>5.8454351734217496E-3</v>
      </c>
      <c r="Z43" s="234">
        <v>1.916833883462866E-3</v>
      </c>
      <c r="AA43" s="234">
        <v>1.787603155404675E-3</v>
      </c>
      <c r="AB43" s="234">
        <v>1.6391402297898771E-3</v>
      </c>
      <c r="AC43" s="234">
        <v>1.9804089352243432E-3</v>
      </c>
      <c r="AD43" s="234">
        <v>2.3762213948193161E-3</v>
      </c>
      <c r="AE43" s="234">
        <v>1.8856046203933371E-3</v>
      </c>
      <c r="AF43" s="234">
        <v>2.1561190550245571E-3</v>
      </c>
      <c r="AG43" s="234">
        <v>1.2494145539354521E-3</v>
      </c>
      <c r="AH43" s="234">
        <v>9.2983116383368652E-4</v>
      </c>
      <c r="AI43" s="234">
        <v>8.7212813561191418E-4</v>
      </c>
      <c r="AJ43" s="234">
        <v>9.3903349362325288E-4</v>
      </c>
      <c r="AK43" s="234">
        <v>9.4734330673925218E-4</v>
      </c>
    </row>
    <row r="44" spans="2:37" ht="18" hidden="1" x14ac:dyDescent="0.35">
      <c r="B44" s="236"/>
      <c r="C44" s="237" t="s">
        <v>1070</v>
      </c>
      <c r="D44" s="234">
        <v>9.7838058037649292E-2</v>
      </c>
      <c r="E44" s="234">
        <v>0.10008631482842854</v>
      </c>
      <c r="F44" s="234">
        <v>0.11113497416797997</v>
      </c>
      <c r="G44" s="234">
        <v>0.12081665320829936</v>
      </c>
      <c r="H44" s="234">
        <v>0.15600679942953866</v>
      </c>
      <c r="I44" s="234">
        <v>0.16736602324215868</v>
      </c>
      <c r="J44" s="234">
        <v>0.16659686955958269</v>
      </c>
      <c r="K44" s="234">
        <v>0.17267820998730574</v>
      </c>
      <c r="L44" s="234">
        <v>0.18129491270388151</v>
      </c>
      <c r="M44" s="234">
        <v>0.18704835866499295</v>
      </c>
      <c r="N44" s="234">
        <v>0.19813418426147411</v>
      </c>
      <c r="O44" s="234">
        <v>0.20693951325246412</v>
      </c>
      <c r="P44" s="234">
        <v>0.22588649714457557</v>
      </c>
      <c r="Q44" s="234">
        <v>0.25295633421590957</v>
      </c>
      <c r="R44" s="234">
        <v>0.25039461677587599</v>
      </c>
      <c r="S44" s="234">
        <v>0.27080200485783329</v>
      </c>
      <c r="T44" s="234">
        <v>0.29954861767757529</v>
      </c>
      <c r="U44" s="234">
        <v>0.30597824684857949</v>
      </c>
      <c r="V44" s="234">
        <v>0.30501470325124752</v>
      </c>
      <c r="W44" s="234">
        <v>0.29215232607261732</v>
      </c>
      <c r="X44" s="234">
        <v>0.26704053802848482</v>
      </c>
      <c r="Y44" s="234">
        <v>0.2734390449625605</v>
      </c>
      <c r="Z44" s="234">
        <v>0.26914579080531181</v>
      </c>
      <c r="AA44" s="234">
        <v>0.26409212444288865</v>
      </c>
      <c r="AB44" s="234">
        <v>0.27164540032617035</v>
      </c>
      <c r="AC44" s="234">
        <v>0.26752970011152227</v>
      </c>
      <c r="AD44" s="234">
        <v>0.27425813103389862</v>
      </c>
      <c r="AE44" s="234">
        <v>0.27943931325781945</v>
      </c>
      <c r="AF44" s="234">
        <v>0.29704775255580335</v>
      </c>
      <c r="AG44" s="234">
        <v>0.289648555893321</v>
      </c>
      <c r="AH44" s="234">
        <v>0.29895929683200428</v>
      </c>
      <c r="AI44" s="234">
        <v>0.29720081009912747</v>
      </c>
      <c r="AJ44" s="234">
        <v>0.26677999332902497</v>
      </c>
      <c r="AK44" s="234">
        <v>0.26451108716347815</v>
      </c>
    </row>
    <row r="45" spans="2:37" ht="18" hidden="1" x14ac:dyDescent="0.35">
      <c r="B45" s="229" t="s">
        <v>1057</v>
      </c>
      <c r="C45" s="237" t="s">
        <v>1070</v>
      </c>
      <c r="D45" s="234">
        <v>5.3618746499508457E-2</v>
      </c>
      <c r="E45" s="234">
        <v>4.8986412471270571E-2</v>
      </c>
      <c r="F45" s="234">
        <v>5.2460783040901238E-2</v>
      </c>
      <c r="G45" s="234">
        <v>5.0913120092589532E-2</v>
      </c>
      <c r="H45" s="234">
        <v>6.8165195204464693E-2</v>
      </c>
      <c r="I45" s="234">
        <v>7.167903184209401E-2</v>
      </c>
      <c r="J45" s="234">
        <v>6.089202270547775E-2</v>
      </c>
      <c r="K45" s="234">
        <v>5.8837278224810538E-2</v>
      </c>
      <c r="L45" s="234">
        <v>5.2568652380279912E-2</v>
      </c>
      <c r="M45" s="234">
        <v>5.631981495892241E-2</v>
      </c>
      <c r="N45" s="234">
        <v>5.4880732803319218E-2</v>
      </c>
      <c r="O45" s="234">
        <v>5.124437281799693E-2</v>
      </c>
      <c r="P45" s="234">
        <v>5.0559134053439793E-2</v>
      </c>
      <c r="Q45" s="234">
        <v>5.6912954584702052E-2</v>
      </c>
      <c r="R45" s="234">
        <v>5.0982274647682811E-2</v>
      </c>
      <c r="S45" s="234">
        <v>5.4154967475951013E-2</v>
      </c>
      <c r="T45" s="234">
        <v>6.283528356626733E-2</v>
      </c>
      <c r="U45" s="234">
        <v>5.9375756491655322E-2</v>
      </c>
      <c r="V45" s="234">
        <v>6.4141835549828344E-2</v>
      </c>
      <c r="W45" s="234">
        <v>2.926278888902235E-2</v>
      </c>
      <c r="X45" s="234">
        <v>9.681649586559711E-3</v>
      </c>
      <c r="Y45" s="234">
        <v>8.6015241049132909E-3</v>
      </c>
      <c r="Z45" s="234">
        <v>8.2857049246984667E-3</v>
      </c>
      <c r="AA45" s="234">
        <v>6.0516197454777466E-3</v>
      </c>
      <c r="AB45" s="234">
        <v>4.1262408335366544E-3</v>
      </c>
      <c r="AC45" s="234">
        <v>4.3555754907213598E-3</v>
      </c>
      <c r="AD45" s="234">
        <v>5.1393673888742372E-3</v>
      </c>
      <c r="AE45" s="234">
        <v>6.442718322481447E-3</v>
      </c>
      <c r="AF45" s="234">
        <v>7.4183109751046906E-3</v>
      </c>
      <c r="AG45" s="234">
        <v>6.619025405552998E-3</v>
      </c>
      <c r="AH45" s="234">
        <v>6.1993450807731991E-3</v>
      </c>
      <c r="AI45" s="234">
        <v>6.1448649673151853E-3</v>
      </c>
      <c r="AJ45" s="234">
        <v>5.8250438108452878E-3</v>
      </c>
      <c r="AK45" s="234">
        <v>5.6337568934034772E-3</v>
      </c>
    </row>
    <row r="46" spans="2:37" ht="18" hidden="1" x14ac:dyDescent="0.35">
      <c r="B46" s="229" t="s">
        <v>1059</v>
      </c>
      <c r="C46" s="237" t="s">
        <v>1070</v>
      </c>
      <c r="D46" s="234">
        <v>3.8876114899414109E-2</v>
      </c>
      <c r="E46" s="234">
        <v>4.5654912781377857E-2</v>
      </c>
      <c r="F46" s="234">
        <v>5.2853270009631241E-2</v>
      </c>
      <c r="G46" s="234">
        <v>6.4991769198391558E-2</v>
      </c>
      <c r="H46" s="234">
        <v>8.1776449946068169E-2</v>
      </c>
      <c r="I46" s="234">
        <v>8.8739353587786146E-2</v>
      </c>
      <c r="J46" s="234">
        <v>9.8276214501138187E-2</v>
      </c>
      <c r="K46" s="234">
        <v>0.10569228478748649</v>
      </c>
      <c r="L46" s="234">
        <v>0.11984938740632767</v>
      </c>
      <c r="M46" s="234">
        <v>0.12143889867487843</v>
      </c>
      <c r="N46" s="234">
        <v>0.13343853073797998</v>
      </c>
      <c r="O46" s="234">
        <v>0.14656884179608418</v>
      </c>
      <c r="P46" s="234">
        <v>0.1669017851048927</v>
      </c>
      <c r="Q46" s="234">
        <v>0.1875921469693527</v>
      </c>
      <c r="R46" s="234">
        <v>0.19145033112881538</v>
      </c>
      <c r="S46" s="234">
        <v>0.20895883919293579</v>
      </c>
      <c r="T46" s="234">
        <v>0.22860861398944868</v>
      </c>
      <c r="U46" s="234">
        <v>0.23898257615074986</v>
      </c>
      <c r="V46" s="234">
        <v>0.23388470497490121</v>
      </c>
      <c r="W46" s="234">
        <v>0.25640135122557017</v>
      </c>
      <c r="X46" s="234">
        <v>0.25121433690673822</v>
      </c>
      <c r="Y46" s="234">
        <v>0.25938639882803949</v>
      </c>
      <c r="Z46" s="234">
        <v>0.25620098687657977</v>
      </c>
      <c r="AA46" s="234">
        <v>0.25340734385636859</v>
      </c>
      <c r="AB46" s="234">
        <v>0.2631868915994558</v>
      </c>
      <c r="AC46" s="234">
        <v>0.25854026951245307</v>
      </c>
      <c r="AD46" s="234">
        <v>0.26442907069242122</v>
      </c>
      <c r="AE46" s="234">
        <v>0.26813140893089638</v>
      </c>
      <c r="AF46" s="234">
        <v>0.28479158047675884</v>
      </c>
      <c r="AG46" s="234">
        <v>0.27823612765003491</v>
      </c>
      <c r="AH46" s="234">
        <v>0.28824912179809664</v>
      </c>
      <c r="AI46" s="234">
        <v>0.28687357526511992</v>
      </c>
      <c r="AJ46" s="234">
        <v>0.25666223770742869</v>
      </c>
      <c r="AK46" s="234">
        <v>0.2546269649392312</v>
      </c>
    </row>
    <row r="47" spans="2:37" ht="18" hidden="1" x14ac:dyDescent="0.35">
      <c r="B47" s="229" t="s">
        <v>1060</v>
      </c>
      <c r="C47" s="237" t="s">
        <v>1070</v>
      </c>
      <c r="D47" s="234">
        <v>1.332150743160987E-3</v>
      </c>
      <c r="E47" s="234">
        <v>1.6349122756975751E-3</v>
      </c>
      <c r="F47" s="234">
        <v>2.1193307277561158E-3</v>
      </c>
      <c r="G47" s="234">
        <v>1.2110461301463519E-3</v>
      </c>
      <c r="H47" s="234">
        <v>2.349746517770355E-3</v>
      </c>
      <c r="I47" s="234">
        <v>3.306806846169498E-3</v>
      </c>
      <c r="J47" s="234">
        <v>3.8097670265064931E-3</v>
      </c>
      <c r="K47" s="234">
        <v>4.5387756628997977E-3</v>
      </c>
      <c r="L47" s="234">
        <v>5.267561717520932E-3</v>
      </c>
      <c r="M47" s="234">
        <v>5.6577975269514816E-3</v>
      </c>
      <c r="N47" s="234">
        <v>6.144926598989079E-3</v>
      </c>
      <c r="O47" s="234">
        <v>5.5705174138789551E-3</v>
      </c>
      <c r="P47" s="234">
        <v>5.0485248729979894E-3</v>
      </c>
      <c r="Q47" s="234">
        <v>4.9423734047964497E-3</v>
      </c>
      <c r="R47" s="234">
        <v>4.4077205970657592E-3</v>
      </c>
      <c r="S47" s="234">
        <v>4.151593660029017E-3</v>
      </c>
      <c r="T47" s="234">
        <v>4.46810033127214E-3</v>
      </c>
      <c r="U47" s="234">
        <v>3.7727595212180189E-3</v>
      </c>
      <c r="V47" s="234">
        <v>3.7980800549174678E-3</v>
      </c>
      <c r="W47" s="234">
        <v>3.505920050693047E-3</v>
      </c>
      <c r="X47" s="234">
        <v>3.505920050693047E-3</v>
      </c>
      <c r="Y47" s="234">
        <v>3.0676800443564171E-3</v>
      </c>
      <c r="Z47" s="234">
        <v>2.6294400380197859E-3</v>
      </c>
      <c r="AA47" s="234">
        <v>2.6294400380197859E-3</v>
      </c>
      <c r="AB47" s="234">
        <v>2.3664960342178079E-3</v>
      </c>
      <c r="AC47" s="234">
        <v>2.6294400380197859E-3</v>
      </c>
      <c r="AD47" s="234">
        <v>2.6294400380197859E-3</v>
      </c>
      <c r="AE47" s="234">
        <v>2.8339520409768801E-3</v>
      </c>
      <c r="AF47" s="234">
        <v>2.8047360405544378E-3</v>
      </c>
      <c r="AG47" s="234">
        <v>2.9216000422442072E-3</v>
      </c>
      <c r="AH47" s="234">
        <v>2.7755200401319972E-3</v>
      </c>
      <c r="AI47" s="234">
        <v>2.483360035907576E-3</v>
      </c>
      <c r="AJ47" s="234">
        <v>2.6294400380197859E-3</v>
      </c>
      <c r="AK47" s="234">
        <v>2.6631840858917068E-3</v>
      </c>
    </row>
    <row r="48" spans="2:37" ht="18" hidden="1" x14ac:dyDescent="0.35">
      <c r="B48" s="229" t="s">
        <v>1061</v>
      </c>
      <c r="C48" s="237" t="s">
        <v>1070</v>
      </c>
      <c r="D48" s="234">
        <v>1.6706048071652351E-3</v>
      </c>
      <c r="E48" s="234">
        <v>1.594132067314557E-3</v>
      </c>
      <c r="F48" s="234">
        <v>1.517659327463878E-3</v>
      </c>
      <c r="G48" s="234">
        <v>1.564628740683145E-3</v>
      </c>
      <c r="H48" s="234">
        <v>1.61159815390241E-3</v>
      </c>
      <c r="I48" s="234">
        <v>1.658567567121677E-3</v>
      </c>
      <c r="J48" s="234">
        <v>1.705536980340942E-3</v>
      </c>
      <c r="K48" s="234">
        <v>1.7525063935602081E-3</v>
      </c>
      <c r="L48" s="234">
        <v>1.7440444262745659E-3</v>
      </c>
      <c r="M48" s="234">
        <v>1.7037634472407931E-3</v>
      </c>
      <c r="N48" s="234">
        <v>1.663792740340828E-3</v>
      </c>
      <c r="O48" s="234">
        <v>1.6241323055746701E-3</v>
      </c>
      <c r="P48" s="234">
        <v>1.584782142942318E-3</v>
      </c>
      <c r="Q48" s="234">
        <v>1.599546261101648E-3</v>
      </c>
      <c r="R48" s="234">
        <v>1.612448746458136E-3</v>
      </c>
      <c r="S48" s="234">
        <v>1.6234895990117841E-3</v>
      </c>
      <c r="T48" s="234">
        <v>1.6326688187625899E-3</v>
      </c>
      <c r="U48" s="234">
        <v>1.6399864057105541E-3</v>
      </c>
      <c r="V48" s="234">
        <v>1.5866692959639541E-3</v>
      </c>
      <c r="W48" s="234">
        <v>1.5693598717718769E-3</v>
      </c>
      <c r="X48" s="234">
        <v>1.552050447579806E-3</v>
      </c>
      <c r="Y48" s="234">
        <v>1.534741023387728E-3</v>
      </c>
      <c r="Z48" s="234">
        <v>1.517431599195658E-3</v>
      </c>
      <c r="AA48" s="234">
        <v>1.473413129171086E-3</v>
      </c>
      <c r="AB48" s="234">
        <v>1.4293946591465139E-3</v>
      </c>
      <c r="AC48" s="234">
        <v>1.3853761891219429E-3</v>
      </c>
      <c r="AD48" s="234">
        <v>1.341357719097357E-3</v>
      </c>
      <c r="AE48" s="234">
        <v>1.297339249072785E-3</v>
      </c>
      <c r="AF48" s="234">
        <v>1.253320779048214E-3</v>
      </c>
      <c r="AG48" s="234">
        <v>1.209302309023642E-3</v>
      </c>
      <c r="AH48" s="234">
        <v>1.165283838999071E-3</v>
      </c>
      <c r="AI48" s="234">
        <v>1.121265368974484E-3</v>
      </c>
      <c r="AJ48" s="234">
        <v>1.077246898949913E-3</v>
      </c>
      <c r="AK48" s="234">
        <v>9.9680694222979249E-4</v>
      </c>
    </row>
    <row r="49" spans="2:37" ht="18" hidden="1" x14ac:dyDescent="0.35">
      <c r="B49" s="229" t="s">
        <v>1062</v>
      </c>
      <c r="C49" s="237" t="s">
        <v>1070</v>
      </c>
      <c r="D49" s="234">
        <v>5.5046408286335102E-4</v>
      </c>
      <c r="E49" s="234">
        <v>5.5046408286335102E-4</v>
      </c>
      <c r="F49" s="234">
        <v>5.5046408286335102E-4</v>
      </c>
      <c r="G49" s="234">
        <v>5.1693220075843603E-4</v>
      </c>
      <c r="H49" s="234">
        <v>4.8340031865352131E-4</v>
      </c>
      <c r="I49" s="234">
        <v>4.4986843654860621E-4</v>
      </c>
      <c r="J49" s="234">
        <v>4.1633655444369132E-4</v>
      </c>
      <c r="K49" s="234">
        <v>3.8280467233877628E-4</v>
      </c>
      <c r="L49" s="234">
        <v>3.3625065440448602E-4</v>
      </c>
      <c r="M49" s="234">
        <v>2.8969663647019571E-4</v>
      </c>
      <c r="N49" s="234">
        <v>2.4314261853590539E-4</v>
      </c>
      <c r="O49" s="234">
        <v>1.9658860060161511E-4</v>
      </c>
      <c r="P49" s="234">
        <v>1.5003458266732469E-4</v>
      </c>
      <c r="Q49" s="234">
        <v>1.759768860296161E-4</v>
      </c>
      <c r="R49" s="234">
        <v>2.0191918939190749E-4</v>
      </c>
      <c r="S49" s="234">
        <v>2.278614927541989E-4</v>
      </c>
      <c r="T49" s="234">
        <v>2.538037961164902E-4</v>
      </c>
      <c r="U49" s="234">
        <v>2.797460994787817E-4</v>
      </c>
      <c r="V49" s="234">
        <v>2.7239810716161539E-4</v>
      </c>
      <c r="W49" s="234">
        <v>2.6505011484444907E-4</v>
      </c>
      <c r="X49" s="234">
        <v>2.5770212252728292E-4</v>
      </c>
      <c r="Y49" s="234">
        <v>2.5035413021011829E-4</v>
      </c>
      <c r="Z49" s="234">
        <v>2.4300613789295211E-4</v>
      </c>
      <c r="AA49" s="234">
        <v>2.4929993489902942E-4</v>
      </c>
      <c r="AB49" s="234">
        <v>2.555937319051067E-4</v>
      </c>
      <c r="AC49" s="234">
        <v>2.6188752891118588E-4</v>
      </c>
      <c r="AD49" s="234">
        <v>2.6818132591726322E-4</v>
      </c>
      <c r="AE49" s="234">
        <v>2.7447512292334229E-4</v>
      </c>
      <c r="AF49" s="234">
        <v>2.8076891992941967E-4</v>
      </c>
      <c r="AG49" s="234">
        <v>2.8706271693549701E-4</v>
      </c>
      <c r="AH49" s="234">
        <v>2.9335651394157619E-4</v>
      </c>
      <c r="AI49" s="234">
        <v>2.9965031094765358E-4</v>
      </c>
      <c r="AJ49" s="234">
        <v>3.059441079537327E-4</v>
      </c>
      <c r="AK49" s="234">
        <v>3.0764418566177549E-4</v>
      </c>
    </row>
    <row r="50" spans="2:37" ht="18" hidden="1" x14ac:dyDescent="0.35">
      <c r="B50" s="229" t="s">
        <v>1063</v>
      </c>
      <c r="C50" s="237" t="s">
        <v>1070</v>
      </c>
      <c r="D50" s="234">
        <v>0</v>
      </c>
      <c r="E50" s="234">
        <v>0</v>
      </c>
      <c r="F50" s="234">
        <v>0</v>
      </c>
      <c r="G50" s="234">
        <v>0</v>
      </c>
      <c r="H50" s="234">
        <v>0</v>
      </c>
      <c r="I50" s="234">
        <v>0</v>
      </c>
      <c r="J50" s="234">
        <v>3.4543733389519261E-6</v>
      </c>
      <c r="K50" s="234">
        <v>7.0952773781466167E-6</v>
      </c>
      <c r="L50" s="234">
        <v>1.5778028471866619E-5</v>
      </c>
      <c r="M50" s="234">
        <v>2.0714813151378831E-5</v>
      </c>
      <c r="N50" s="234">
        <v>1.093237574067262E-5</v>
      </c>
      <c r="O50" s="234">
        <v>1.511220576131623E-5</v>
      </c>
      <c r="P50" s="234">
        <v>1.7070272712832179E-5</v>
      </c>
      <c r="Q50" s="234">
        <v>1.6354599382980639E-5</v>
      </c>
      <c r="R50" s="234">
        <v>1.8800384241005339E-5</v>
      </c>
      <c r="S50" s="234">
        <v>1.4953249894390559E-5</v>
      </c>
      <c r="T50" s="234">
        <v>1.5861411049773361E-5</v>
      </c>
      <c r="U50" s="234">
        <v>1.679084489152962E-5</v>
      </c>
      <c r="V50" s="234">
        <v>1.9881795436832011E-5</v>
      </c>
      <c r="W50" s="234">
        <v>1.906285562010268E-5</v>
      </c>
      <c r="X50" s="234">
        <v>1.8952080180246121E-5</v>
      </c>
      <c r="Y50" s="234">
        <v>1.746524761756899E-5</v>
      </c>
      <c r="Z50" s="234">
        <v>1.91852884742971E-5</v>
      </c>
      <c r="AA50" s="234">
        <v>1.7226314374465771E-5</v>
      </c>
      <c r="AB50" s="234">
        <v>1.6943510701630779E-5</v>
      </c>
      <c r="AC50" s="234">
        <v>1.859437966581727E-5</v>
      </c>
      <c r="AD50" s="234">
        <v>1.8650355795201762E-5</v>
      </c>
      <c r="AE50" s="234">
        <v>1.702621733838993E-5</v>
      </c>
      <c r="AF50" s="234">
        <v>1.4390384218217951E-5</v>
      </c>
      <c r="AG50" s="234">
        <v>2.0718245333733842E-5</v>
      </c>
      <c r="AH50" s="234">
        <v>1.4988332938078529E-5</v>
      </c>
      <c r="AI50" s="234">
        <v>2.0045972460422571E-5</v>
      </c>
      <c r="AJ50" s="234">
        <v>1.433744126141682E-5</v>
      </c>
      <c r="AK50" s="234">
        <v>1.4634591948125731E-5</v>
      </c>
    </row>
    <row r="51" spans="2:37" ht="18" hidden="1" x14ac:dyDescent="0.35">
      <c r="B51" s="229" t="s">
        <v>1064</v>
      </c>
      <c r="C51" s="237" t="s">
        <v>1070</v>
      </c>
      <c r="D51" s="234">
        <v>0</v>
      </c>
      <c r="E51" s="234">
        <v>0</v>
      </c>
      <c r="F51" s="234">
        <v>0</v>
      </c>
      <c r="G51" s="234">
        <v>0</v>
      </c>
      <c r="H51" s="234">
        <v>0</v>
      </c>
      <c r="I51" s="234">
        <v>0</v>
      </c>
      <c r="J51" s="234">
        <v>0</v>
      </c>
      <c r="K51" s="234">
        <v>0</v>
      </c>
      <c r="L51" s="234">
        <v>0</v>
      </c>
      <c r="M51" s="234">
        <v>0</v>
      </c>
      <c r="N51" s="234">
        <v>0</v>
      </c>
      <c r="O51" s="234">
        <v>0</v>
      </c>
      <c r="P51" s="234">
        <v>0</v>
      </c>
      <c r="Q51" s="234">
        <v>0</v>
      </c>
      <c r="R51" s="234">
        <v>0</v>
      </c>
      <c r="S51" s="234">
        <v>0</v>
      </c>
      <c r="T51" s="234">
        <v>0</v>
      </c>
      <c r="U51" s="234">
        <v>0</v>
      </c>
      <c r="V51" s="234">
        <v>0</v>
      </c>
      <c r="W51" s="234">
        <v>0</v>
      </c>
      <c r="X51" s="234">
        <v>0</v>
      </c>
      <c r="Y51" s="234">
        <v>0</v>
      </c>
      <c r="Z51" s="234">
        <v>0</v>
      </c>
      <c r="AA51" s="234">
        <v>0</v>
      </c>
      <c r="AB51" s="234">
        <v>0</v>
      </c>
      <c r="AC51" s="234">
        <v>0</v>
      </c>
      <c r="AD51" s="234">
        <v>0</v>
      </c>
      <c r="AE51" s="234">
        <v>0</v>
      </c>
      <c r="AF51" s="234">
        <v>0</v>
      </c>
      <c r="AG51" s="234">
        <v>0</v>
      </c>
      <c r="AH51" s="234">
        <v>0</v>
      </c>
      <c r="AI51" s="234">
        <v>0</v>
      </c>
      <c r="AJ51" s="234">
        <v>0</v>
      </c>
      <c r="AK51" s="234">
        <v>0</v>
      </c>
    </row>
    <row r="52" spans="2:37" ht="18" hidden="1" x14ac:dyDescent="0.35">
      <c r="B52" s="229" t="s">
        <v>1065</v>
      </c>
      <c r="C52" s="237" t="s">
        <v>1070</v>
      </c>
      <c r="D52" s="234">
        <v>7.746424308818768E-6</v>
      </c>
      <c r="E52" s="234">
        <v>7.9474926993482174E-6</v>
      </c>
      <c r="F52" s="234">
        <v>8.1485610898776667E-6</v>
      </c>
      <c r="G52" s="234">
        <v>9.4396318080141255E-6</v>
      </c>
      <c r="H52" s="234">
        <v>1.0730702526150589E-5</v>
      </c>
      <c r="I52" s="234">
        <v>1.202177324428705E-5</v>
      </c>
      <c r="J52" s="234">
        <v>1.331284396242351E-5</v>
      </c>
      <c r="K52" s="234">
        <v>1.4603914680559969E-5</v>
      </c>
      <c r="L52" s="234">
        <v>1.3469465656099079E-5</v>
      </c>
      <c r="M52" s="234">
        <v>1.233501663163819E-5</v>
      </c>
      <c r="N52" s="234">
        <v>1.12005676071773E-5</v>
      </c>
      <c r="O52" s="234">
        <v>1.006611858271641E-5</v>
      </c>
      <c r="P52" s="234">
        <v>8.9316695582555205E-6</v>
      </c>
      <c r="Q52" s="234">
        <v>1.114342185407945E-5</v>
      </c>
      <c r="R52" s="234">
        <v>1.3355174149903399E-5</v>
      </c>
      <c r="S52" s="234">
        <v>1.556692644572733E-5</v>
      </c>
      <c r="T52" s="234">
        <v>1.777867874155127E-5</v>
      </c>
      <c r="U52" s="234">
        <v>1.9990431037375209E-5</v>
      </c>
      <c r="V52" s="234">
        <v>1.992905226552939E-5</v>
      </c>
      <c r="W52" s="234">
        <v>1.9867673493683571E-5</v>
      </c>
      <c r="X52" s="234">
        <v>1.9806294721837721E-5</v>
      </c>
      <c r="Y52" s="234">
        <v>1.9744915949991891E-5</v>
      </c>
      <c r="Z52" s="234">
        <v>1.9683537178146048E-5</v>
      </c>
      <c r="AA52" s="234">
        <v>2.0625383849573471E-5</v>
      </c>
      <c r="AB52" s="234">
        <v>2.156723052100088E-5</v>
      </c>
      <c r="AC52" s="234">
        <v>2.2509077192428309E-5</v>
      </c>
      <c r="AD52" s="234">
        <v>2.3450923863855729E-5</v>
      </c>
      <c r="AE52" s="234">
        <v>2.4392770535283141E-5</v>
      </c>
      <c r="AF52" s="234">
        <v>2.533461720671056E-5</v>
      </c>
      <c r="AG52" s="234">
        <v>2.627646387813799E-5</v>
      </c>
      <c r="AH52" s="234">
        <v>2.7218310549565399E-5</v>
      </c>
      <c r="AI52" s="234">
        <v>2.8160157220992821E-5</v>
      </c>
      <c r="AJ52" s="234">
        <v>2.910200389242023E-5</v>
      </c>
      <c r="AK52" s="234">
        <v>2.9520308894037189E-5</v>
      </c>
    </row>
    <row r="53" spans="2:37" ht="18" hidden="1" x14ac:dyDescent="0.35">
      <c r="B53" s="229" t="s">
        <v>1066</v>
      </c>
      <c r="C53" s="237" t="s">
        <v>1070</v>
      </c>
      <c r="D53" s="234">
        <v>1.7822305812283429E-3</v>
      </c>
      <c r="E53" s="234">
        <v>1.6575336572052981E-3</v>
      </c>
      <c r="F53" s="234">
        <v>1.6253184182742459E-3</v>
      </c>
      <c r="G53" s="234">
        <v>1.609717213922355E-3</v>
      </c>
      <c r="H53" s="234">
        <v>1.6096785861533141E-3</v>
      </c>
      <c r="I53" s="234">
        <v>1.5203731891944769E-3</v>
      </c>
      <c r="J53" s="234">
        <v>1.4802245743742229E-3</v>
      </c>
      <c r="K53" s="234">
        <v>1.45286105415128E-3</v>
      </c>
      <c r="L53" s="234">
        <v>1.499768624946001E-3</v>
      </c>
      <c r="M53" s="234">
        <v>1.605337590746614E-3</v>
      </c>
      <c r="N53" s="234">
        <v>1.7409258189611961E-3</v>
      </c>
      <c r="O53" s="234">
        <v>1.709881993983726E-3</v>
      </c>
      <c r="P53" s="234">
        <v>1.6162344453643381E-3</v>
      </c>
      <c r="Q53" s="234">
        <v>1.7058380886900289E-3</v>
      </c>
      <c r="R53" s="234">
        <v>1.7077669080711E-3</v>
      </c>
      <c r="S53" s="234">
        <v>1.654733260811343E-3</v>
      </c>
      <c r="T53" s="234">
        <v>1.7165070859166949E-3</v>
      </c>
      <c r="U53" s="234">
        <v>1.8906409038379889E-3</v>
      </c>
      <c r="V53" s="234">
        <v>1.2912044207725501E-3</v>
      </c>
      <c r="W53" s="234">
        <v>1.1089253916016851E-3</v>
      </c>
      <c r="X53" s="234">
        <v>7.9012053948463151E-4</v>
      </c>
      <c r="Y53" s="234">
        <v>5.6113666808582413E-4</v>
      </c>
      <c r="Z53" s="234">
        <v>2.3035240327272781E-4</v>
      </c>
      <c r="AA53" s="234">
        <v>2.4315604072839851E-4</v>
      </c>
      <c r="AB53" s="234">
        <v>2.4227272668584599E-4</v>
      </c>
      <c r="AC53" s="234">
        <v>3.1604789543664369E-4</v>
      </c>
      <c r="AD53" s="234">
        <v>4.086125899096716E-4</v>
      </c>
      <c r="AE53" s="234">
        <v>4.1800060359498288E-4</v>
      </c>
      <c r="AF53" s="234">
        <v>4.5931036298278867E-4</v>
      </c>
      <c r="AG53" s="234">
        <v>3.2844306031776487E-4</v>
      </c>
      <c r="AH53" s="234">
        <v>2.344629165742006E-4</v>
      </c>
      <c r="AI53" s="234">
        <v>2.298880211812203E-4</v>
      </c>
      <c r="AJ53" s="234">
        <v>2.3664132067369449E-4</v>
      </c>
      <c r="AK53" s="234">
        <v>2.3857521621798301E-4</v>
      </c>
    </row>
    <row r="54" spans="2:37" ht="15.75" x14ac:dyDescent="0.25">
      <c r="B54" s="226" t="s">
        <v>1071</v>
      </c>
      <c r="C54" s="227" t="s">
        <v>535</v>
      </c>
      <c r="D54" s="228">
        <v>6.2937883637847785</v>
      </c>
      <c r="E54" s="228">
        <v>6.6466454640679284</v>
      </c>
      <c r="F54" s="228">
        <v>5.7252123802644395</v>
      </c>
      <c r="G54" s="228">
        <v>5.7906103122824524</v>
      </c>
      <c r="H54" s="228">
        <v>5.7697888288581467</v>
      </c>
      <c r="I54" s="228">
        <v>5.9420553495316817</v>
      </c>
      <c r="J54" s="228">
        <v>6.7228275650148728</v>
      </c>
      <c r="K54" s="228">
        <v>6.3433424137047822</v>
      </c>
      <c r="L54" s="228">
        <v>6.0182692982772341</v>
      </c>
      <c r="M54" s="228">
        <v>6.2372518359055356</v>
      </c>
      <c r="N54" s="228">
        <v>5.518905845567283</v>
      </c>
      <c r="O54" s="228">
        <v>5.8144782939370616</v>
      </c>
      <c r="P54" s="228">
        <v>6.2716737734607104</v>
      </c>
      <c r="Q54" s="228">
        <v>5.9282665999846689</v>
      </c>
      <c r="R54" s="228">
        <v>6.5143765766648389</v>
      </c>
      <c r="S54" s="228">
        <v>6.2919423622303503</v>
      </c>
      <c r="T54" s="228">
        <v>6.6859262836871372</v>
      </c>
      <c r="U54" s="228">
        <v>5.8466457481902037</v>
      </c>
      <c r="V54" s="228">
        <v>6.4745847042858813</v>
      </c>
      <c r="W54" s="228">
        <v>5.9794435820387708</v>
      </c>
      <c r="X54" s="228">
        <v>6.4837685403679073</v>
      </c>
      <c r="Y54" s="228">
        <v>5.568437544583845</v>
      </c>
      <c r="Z54" s="228">
        <v>5.546694827370513</v>
      </c>
      <c r="AA54" s="228">
        <v>6.675149683926537</v>
      </c>
      <c r="AB54" s="228">
        <v>6.2495069075427505</v>
      </c>
      <c r="AC54" s="228">
        <v>6.7011089552537291</v>
      </c>
      <c r="AD54" s="228">
        <v>5.9782709338589157</v>
      </c>
      <c r="AE54" s="228">
        <v>6.5715896980007455</v>
      </c>
      <c r="AF54" s="228">
        <v>6.012744140671356</v>
      </c>
      <c r="AG54" s="228">
        <v>5.8675856015365717</v>
      </c>
      <c r="AH54" s="228">
        <v>5.3726528271788174</v>
      </c>
      <c r="AI54" s="228">
        <v>5.548921651052301</v>
      </c>
      <c r="AJ54" s="228">
        <v>5.4637431972456465</v>
      </c>
      <c r="AK54" s="228">
        <v>5.6054974488379115</v>
      </c>
    </row>
    <row r="55" spans="2:37" ht="18" x14ac:dyDescent="0.35">
      <c r="B55" s="238" t="s">
        <v>1072</v>
      </c>
      <c r="C55" s="237" t="s">
        <v>1070</v>
      </c>
      <c r="D55" s="234">
        <v>6.2800783171745547</v>
      </c>
      <c r="E55" s="234">
        <v>6.6312310306422404</v>
      </c>
      <c r="F55" s="234">
        <v>5.7130699649067838</v>
      </c>
      <c r="G55" s="234">
        <v>5.7795761089198274</v>
      </c>
      <c r="H55" s="234">
        <v>5.7580856322028664</v>
      </c>
      <c r="I55" s="234">
        <v>5.9317925997206382</v>
      </c>
      <c r="J55" s="234">
        <v>6.7109729640823534</v>
      </c>
      <c r="K55" s="234">
        <v>6.3337269060292947</v>
      </c>
      <c r="L55" s="234">
        <v>6.0077997525442983</v>
      </c>
      <c r="M55" s="234">
        <v>6.2239616972478675</v>
      </c>
      <c r="N55" s="234">
        <v>5.5090753168578441</v>
      </c>
      <c r="O55" s="234">
        <v>5.8029002019010845</v>
      </c>
      <c r="P55" s="234">
        <v>6.258312806514323</v>
      </c>
      <c r="Q55" s="234">
        <v>5.916803190711569</v>
      </c>
      <c r="R55" s="234">
        <v>6.5023326716199721</v>
      </c>
      <c r="S55" s="234">
        <v>6.2758661275047212</v>
      </c>
      <c r="T55" s="234">
        <v>6.6737168954422481</v>
      </c>
      <c r="U55" s="234">
        <v>5.8329189253517377</v>
      </c>
      <c r="V55" s="234">
        <v>6.4595996758972003</v>
      </c>
      <c r="W55" s="234">
        <v>5.9676085563576455</v>
      </c>
      <c r="X55" s="234">
        <v>6.4746578951175335</v>
      </c>
      <c r="Y55" s="234">
        <v>5.5616114273774233</v>
      </c>
      <c r="Z55" s="234">
        <v>5.5405969249504832</v>
      </c>
      <c r="AA55" s="234">
        <v>6.6666516013418891</v>
      </c>
      <c r="AB55" s="234">
        <v>6.2398467412211103</v>
      </c>
      <c r="AC55" s="234">
        <v>6.689130081310803</v>
      </c>
      <c r="AD55" s="234">
        <v>5.9659584916234767</v>
      </c>
      <c r="AE55" s="234">
        <v>6.5608140955999259</v>
      </c>
      <c r="AF55" s="234">
        <v>6.0023621258091238</v>
      </c>
      <c r="AG55" s="234">
        <v>5.8571927507801043</v>
      </c>
      <c r="AH55" s="234">
        <v>5.3623425161718128</v>
      </c>
      <c r="AI55" s="234">
        <v>5.5386395549675242</v>
      </c>
      <c r="AJ55" s="234">
        <v>5.4535200492675457</v>
      </c>
      <c r="AK55" s="234">
        <v>5.5953070483188769</v>
      </c>
    </row>
    <row r="56" spans="2:37" ht="18" x14ac:dyDescent="0.35">
      <c r="B56" s="239" t="s">
        <v>1073</v>
      </c>
      <c r="C56" s="237" t="s">
        <v>1070</v>
      </c>
      <c r="D56" s="234">
        <v>0.80573832467973094</v>
      </c>
      <c r="E56" s="234">
        <v>0.86320903468893073</v>
      </c>
      <c r="F56" s="234">
        <v>0.65856087220109616</v>
      </c>
      <c r="G56" s="234">
        <v>0.69004381912593893</v>
      </c>
      <c r="H56" s="234">
        <v>0.76417597501390899</v>
      </c>
      <c r="I56" s="234">
        <v>0.8474288879457742</v>
      </c>
      <c r="J56" s="234">
        <v>0.88474550231441484</v>
      </c>
      <c r="K56" s="234">
        <v>0.78774004274616072</v>
      </c>
      <c r="L56" s="234">
        <v>0.76198166543735124</v>
      </c>
      <c r="M56" s="234">
        <v>0.80961180301330338</v>
      </c>
      <c r="N56" s="234">
        <v>0.76345498568613834</v>
      </c>
      <c r="O56" s="234">
        <v>0.83072557718621953</v>
      </c>
      <c r="P56" s="234">
        <v>0.85677604720338207</v>
      </c>
      <c r="Q56" s="234">
        <v>0.84833347858397623</v>
      </c>
      <c r="R56" s="234">
        <v>0.86298442564234046</v>
      </c>
      <c r="S56" s="234">
        <v>0.85652410243098587</v>
      </c>
      <c r="T56" s="234">
        <v>0.93026282585522302</v>
      </c>
      <c r="U56" s="234">
        <v>0.9077441395696817</v>
      </c>
      <c r="V56" s="234">
        <v>0.91904088277778861</v>
      </c>
      <c r="W56" s="234">
        <v>0.88142146043097624</v>
      </c>
      <c r="X56" s="234">
        <v>0.88986792478925325</v>
      </c>
      <c r="Y56" s="234">
        <v>0.82245759908043825</v>
      </c>
      <c r="Z56" s="234">
        <v>0.74416988098680936</v>
      </c>
      <c r="AA56" s="234">
        <v>0.86272083699775437</v>
      </c>
      <c r="AB56" s="234">
        <v>0.84160976490289596</v>
      </c>
      <c r="AC56" s="234">
        <v>0.86322263713194081</v>
      </c>
      <c r="AD56" s="234">
        <v>0.71302715056206667</v>
      </c>
      <c r="AE56" s="234">
        <v>0.77726816474654559</v>
      </c>
      <c r="AF56" s="234">
        <v>0.76627380372422593</v>
      </c>
      <c r="AG56" s="234">
        <v>0.7566218071967018</v>
      </c>
      <c r="AH56" s="234">
        <v>0.78831482695303767</v>
      </c>
      <c r="AI56" s="234">
        <v>0.74291925695697869</v>
      </c>
      <c r="AJ56" s="234">
        <v>0.73220457957431195</v>
      </c>
      <c r="AK56" s="234">
        <v>0.73633983851503249</v>
      </c>
    </row>
    <row r="57" spans="2:37" ht="18" x14ac:dyDescent="0.35">
      <c r="B57" s="239" t="s">
        <v>1074</v>
      </c>
      <c r="C57" s="237" t="s">
        <v>1070</v>
      </c>
      <c r="D57" s="234">
        <v>5.4743399924948237</v>
      </c>
      <c r="E57" s="234">
        <v>5.7680219959533092</v>
      </c>
      <c r="F57" s="234">
        <v>5.0545090927056879</v>
      </c>
      <c r="G57" s="234">
        <v>5.0895322897938886</v>
      </c>
      <c r="H57" s="234">
        <v>4.993909657188957</v>
      </c>
      <c r="I57" s="234">
        <v>5.0843637117748637</v>
      </c>
      <c r="J57" s="234">
        <v>5.8262274617679388</v>
      </c>
      <c r="K57" s="234">
        <v>5.5459868632831339</v>
      </c>
      <c r="L57" s="234">
        <v>5.2458180871069473</v>
      </c>
      <c r="M57" s="234">
        <v>5.4143498942345643</v>
      </c>
      <c r="N57" s="234">
        <v>4.7456203311717058</v>
      </c>
      <c r="O57" s="234">
        <v>4.9721746247148646</v>
      </c>
      <c r="P57" s="234">
        <v>5.4015367593109413</v>
      </c>
      <c r="Q57" s="234">
        <v>5.0684697121275928</v>
      </c>
      <c r="R57" s="234">
        <v>5.6393482459776321</v>
      </c>
      <c r="S57" s="234">
        <v>5.4193420250737354</v>
      </c>
      <c r="T57" s="234">
        <v>5.7434540695870249</v>
      </c>
      <c r="U57" s="234">
        <v>4.9251747857820565</v>
      </c>
      <c r="V57" s="234">
        <v>5.5405587931194118</v>
      </c>
      <c r="W57" s="234">
        <v>5.0861870959266691</v>
      </c>
      <c r="X57" s="234">
        <v>5.5847899703282806</v>
      </c>
      <c r="Y57" s="234">
        <v>4.7391538282969847</v>
      </c>
      <c r="Z57" s="234">
        <v>4.796427043963674</v>
      </c>
      <c r="AA57" s="234">
        <v>5.8039307643441349</v>
      </c>
      <c r="AB57" s="234">
        <v>5.3982369763182145</v>
      </c>
      <c r="AC57" s="234">
        <v>5.8259074441788625</v>
      </c>
      <c r="AD57" s="234">
        <v>5.2529313410614096</v>
      </c>
      <c r="AE57" s="234">
        <v>5.7835459308533803</v>
      </c>
      <c r="AF57" s="234">
        <v>5.2360883220848979</v>
      </c>
      <c r="AG57" s="234">
        <v>5.1005709435834028</v>
      </c>
      <c r="AH57" s="234">
        <v>4.5740276892187754</v>
      </c>
      <c r="AI57" s="234">
        <v>4.7957202980105453</v>
      </c>
      <c r="AJ57" s="234">
        <v>4.7213154696932342</v>
      </c>
      <c r="AK57" s="234">
        <v>4.8589672098038443</v>
      </c>
    </row>
    <row r="58" spans="2:37" ht="18" x14ac:dyDescent="0.35">
      <c r="B58" s="230" t="s">
        <v>1075</v>
      </c>
      <c r="C58" s="230" t="s">
        <v>1068</v>
      </c>
      <c r="D58" s="234">
        <v>0</v>
      </c>
      <c r="E58" s="234">
        <v>0</v>
      </c>
      <c r="F58" s="234">
        <v>0</v>
      </c>
      <c r="G58" s="234">
        <v>0</v>
      </c>
      <c r="H58" s="234">
        <v>0</v>
      </c>
      <c r="I58" s="234">
        <v>0</v>
      </c>
      <c r="J58" s="234">
        <v>0</v>
      </c>
      <c r="K58" s="234">
        <v>0</v>
      </c>
      <c r="L58" s="234">
        <v>0</v>
      </c>
      <c r="M58" s="234">
        <v>0</v>
      </c>
      <c r="N58" s="234">
        <v>0</v>
      </c>
      <c r="O58" s="234">
        <v>0</v>
      </c>
      <c r="P58" s="234">
        <v>0</v>
      </c>
      <c r="Q58" s="234">
        <v>0</v>
      </c>
      <c r="R58" s="234">
        <v>0</v>
      </c>
      <c r="S58" s="234">
        <v>0</v>
      </c>
      <c r="T58" s="234">
        <v>0</v>
      </c>
      <c r="U58" s="234">
        <v>0</v>
      </c>
      <c r="V58" s="234">
        <v>0</v>
      </c>
      <c r="W58" s="234">
        <v>0</v>
      </c>
      <c r="X58" s="234">
        <v>0</v>
      </c>
      <c r="Y58" s="234">
        <v>0</v>
      </c>
      <c r="Z58" s="234">
        <v>0</v>
      </c>
      <c r="AA58" s="234">
        <v>0</v>
      </c>
      <c r="AB58" s="234">
        <v>0</v>
      </c>
      <c r="AC58" s="234">
        <v>0</v>
      </c>
      <c r="AD58" s="234">
        <v>0</v>
      </c>
      <c r="AE58" s="234">
        <v>0</v>
      </c>
      <c r="AF58" s="234">
        <v>0</v>
      </c>
      <c r="AG58" s="234">
        <v>0</v>
      </c>
      <c r="AH58" s="234">
        <v>0</v>
      </c>
      <c r="AI58" s="234">
        <v>0</v>
      </c>
      <c r="AJ58" s="234">
        <v>0</v>
      </c>
      <c r="AK58" s="234">
        <v>0</v>
      </c>
    </row>
    <row r="59" spans="2:37" ht="18" x14ac:dyDescent="0.35">
      <c r="B59" s="230" t="s">
        <v>1076</v>
      </c>
      <c r="C59" s="230" t="s">
        <v>1077</v>
      </c>
      <c r="D59" s="234">
        <v>0</v>
      </c>
      <c r="E59" s="234">
        <v>0</v>
      </c>
      <c r="F59" s="234">
        <v>0</v>
      </c>
      <c r="G59" s="234">
        <v>0</v>
      </c>
      <c r="H59" s="234">
        <v>0</v>
      </c>
      <c r="I59" s="234">
        <v>0</v>
      </c>
      <c r="J59" s="234">
        <v>0</v>
      </c>
      <c r="K59" s="234">
        <v>0</v>
      </c>
      <c r="L59" s="234">
        <v>0</v>
      </c>
      <c r="M59" s="234">
        <v>0</v>
      </c>
      <c r="N59" s="234">
        <v>0</v>
      </c>
      <c r="O59" s="234">
        <v>0</v>
      </c>
      <c r="P59" s="234">
        <v>0</v>
      </c>
      <c r="Q59" s="234">
        <v>0</v>
      </c>
      <c r="R59" s="234">
        <v>0</v>
      </c>
      <c r="S59" s="234">
        <v>0</v>
      </c>
      <c r="T59" s="234">
        <v>0</v>
      </c>
      <c r="U59" s="234">
        <v>0</v>
      </c>
      <c r="V59" s="234">
        <v>0</v>
      </c>
      <c r="W59" s="234">
        <v>0</v>
      </c>
      <c r="X59" s="234">
        <v>0</v>
      </c>
      <c r="Y59" s="234">
        <v>0</v>
      </c>
      <c r="Z59" s="234">
        <v>0</v>
      </c>
      <c r="AA59" s="234">
        <v>0</v>
      </c>
      <c r="AB59" s="234">
        <v>0</v>
      </c>
      <c r="AC59" s="234">
        <v>0</v>
      </c>
      <c r="AD59" s="234">
        <v>0</v>
      </c>
      <c r="AE59" s="234">
        <v>0</v>
      </c>
      <c r="AF59" s="234">
        <v>0</v>
      </c>
      <c r="AG59" s="234">
        <v>0</v>
      </c>
      <c r="AH59" s="234">
        <v>0</v>
      </c>
      <c r="AI59" s="234">
        <v>0</v>
      </c>
      <c r="AJ59" s="234">
        <v>0</v>
      </c>
      <c r="AK59" s="234">
        <v>0</v>
      </c>
    </row>
    <row r="60" spans="2:37" ht="18" x14ac:dyDescent="0.35">
      <c r="B60" s="240" t="s">
        <v>1078</v>
      </c>
      <c r="C60" s="230" t="s">
        <v>1077</v>
      </c>
      <c r="D60" s="234">
        <v>9.8060271553418628E-3</v>
      </c>
      <c r="E60" s="234">
        <v>1.143950636547824E-2</v>
      </c>
      <c r="F60" s="234">
        <v>7.5350196256312556E-3</v>
      </c>
      <c r="G60" s="234">
        <v>6.8278702107714166E-3</v>
      </c>
      <c r="H60" s="234">
        <v>8.0611182678641622E-3</v>
      </c>
      <c r="I60" s="234">
        <v>7.2501552511415523E-3</v>
      </c>
      <c r="J60" s="234">
        <v>7.5512204179140601E-3</v>
      </c>
      <c r="K60" s="234">
        <v>5.0201087423266512E-3</v>
      </c>
      <c r="L60" s="234">
        <v>6.1892601530133973E-3</v>
      </c>
      <c r="M60" s="234">
        <v>8.5796234539901421E-3</v>
      </c>
      <c r="N60" s="234">
        <v>6.1996650639571807E-3</v>
      </c>
      <c r="O60" s="234">
        <v>7.2185240557621948E-3</v>
      </c>
      <c r="P60" s="234">
        <v>9.8383941455744035E-3</v>
      </c>
      <c r="Q60" s="234">
        <v>7.5152955335813024E-3</v>
      </c>
      <c r="R60" s="234">
        <v>8.507612688620764E-3</v>
      </c>
      <c r="S60" s="234">
        <v>1.2077695969034441E-2</v>
      </c>
      <c r="T60" s="234">
        <v>8.5170516193413762E-3</v>
      </c>
      <c r="U60" s="234">
        <v>1.024860443315492E-2</v>
      </c>
      <c r="V60" s="234">
        <v>1.1535169010251291E-2</v>
      </c>
      <c r="W60" s="234">
        <v>8.8709476549033838E-3</v>
      </c>
      <c r="X60" s="234">
        <v>5.9542302458495877E-3</v>
      </c>
      <c r="Y60" s="234">
        <v>4.092226193716169E-3</v>
      </c>
      <c r="Z60" s="234">
        <v>3.0885993528682459E-3</v>
      </c>
      <c r="AA60" s="234">
        <v>4.3585360307236386E-3</v>
      </c>
      <c r="AB60" s="234">
        <v>6.8693341800477791E-3</v>
      </c>
      <c r="AC60" s="234">
        <v>8.6485992319090405E-3</v>
      </c>
      <c r="AD60" s="234">
        <v>8.9696825425625206E-3</v>
      </c>
      <c r="AE60" s="234">
        <v>7.4696986386444102E-3</v>
      </c>
      <c r="AF60" s="234">
        <v>7.0705129658148198E-3</v>
      </c>
      <c r="AG60" s="234">
        <v>7.0896842456074647E-3</v>
      </c>
      <c r="AH60" s="234">
        <v>7.0069987193850129E-3</v>
      </c>
      <c r="AI60" s="234">
        <v>6.9821367038492401E-3</v>
      </c>
      <c r="AJ60" s="234">
        <v>6.924448620827744E-3</v>
      </c>
      <c r="AK60" s="234">
        <v>6.8938586437748989E-3</v>
      </c>
    </row>
    <row r="61" spans="2:37" x14ac:dyDescent="0.25">
      <c r="B61" s="430" t="s">
        <v>1079</v>
      </c>
      <c r="C61" s="230" t="s">
        <v>535</v>
      </c>
      <c r="D61" s="234">
        <v>3.9040194548815997E-3</v>
      </c>
      <c r="E61" s="234">
        <v>3.9749270602094586E-3</v>
      </c>
      <c r="F61" s="234">
        <v>4.6073957320240813E-3</v>
      </c>
      <c r="G61" s="234">
        <v>4.2063331518534869E-3</v>
      </c>
      <c r="H61" s="234">
        <v>3.6420783874159218E-3</v>
      </c>
      <c r="I61" s="234">
        <v>3.0125945599014251E-3</v>
      </c>
      <c r="J61" s="234">
        <v>4.3033805146047693E-3</v>
      </c>
      <c r="K61" s="234">
        <v>4.5953989331615772E-3</v>
      </c>
      <c r="L61" s="234">
        <v>4.2802855799217642E-3</v>
      </c>
      <c r="M61" s="234">
        <v>4.7105152036785456E-3</v>
      </c>
      <c r="N61" s="234">
        <v>3.6308636454814996E-3</v>
      </c>
      <c r="O61" s="234">
        <v>4.3595679802152744E-3</v>
      </c>
      <c r="P61" s="234">
        <v>3.522572800812879E-3</v>
      </c>
      <c r="Q61" s="234">
        <v>3.9481137395181078E-3</v>
      </c>
      <c r="R61" s="234">
        <v>3.5362923562467256E-3</v>
      </c>
      <c r="S61" s="234">
        <v>3.998538756594716E-3</v>
      </c>
      <c r="T61" s="234">
        <v>3.6923366255480713E-3</v>
      </c>
      <c r="U61" s="234">
        <v>3.4782184053110811E-3</v>
      </c>
      <c r="V61" s="234">
        <v>3.4498593784295936E-3</v>
      </c>
      <c r="W61" s="234">
        <v>2.964078026221474E-3</v>
      </c>
      <c r="X61" s="234">
        <v>3.1564150045239017E-3</v>
      </c>
      <c r="Y61" s="234">
        <v>2.7338910127058256E-3</v>
      </c>
      <c r="Z61" s="234">
        <v>3.0093030671609817E-3</v>
      </c>
      <c r="AA61" s="234">
        <v>4.1395465539243092E-3</v>
      </c>
      <c r="AB61" s="234">
        <v>2.7908321415920159E-3</v>
      </c>
      <c r="AC61" s="234">
        <v>3.330274711017035E-3</v>
      </c>
      <c r="AD61" s="234">
        <v>3.3427596928763815E-3</v>
      </c>
      <c r="AE61" s="234">
        <v>3.3059037621750828E-3</v>
      </c>
      <c r="AF61" s="234">
        <v>3.3115018964175133E-3</v>
      </c>
      <c r="AG61" s="234">
        <v>3.3031665108599864E-3</v>
      </c>
      <c r="AH61" s="234">
        <v>3.3033122876197124E-3</v>
      </c>
      <c r="AI61" s="234">
        <v>3.2999593809276938E-3</v>
      </c>
      <c r="AJ61" s="234">
        <v>3.298699357273149E-3</v>
      </c>
      <c r="AK61" s="234">
        <v>3.2965418752601587E-3</v>
      </c>
    </row>
    <row r="62" spans="2:37" ht="18" x14ac:dyDescent="0.35">
      <c r="B62" s="430"/>
      <c r="C62" s="230" t="s">
        <v>1068</v>
      </c>
      <c r="D62" s="234">
        <v>2.8198229352492461E-3</v>
      </c>
      <c r="E62" s="234">
        <v>2.875876934242589E-3</v>
      </c>
      <c r="F62" s="234">
        <v>3.355105066179009E-3</v>
      </c>
      <c r="G62" s="234">
        <v>3.0390827276524941E-3</v>
      </c>
      <c r="H62" s="234">
        <v>2.6166291512254997E-3</v>
      </c>
      <c r="I62" s="234">
        <v>2.1467514214955343E-3</v>
      </c>
      <c r="J62" s="234">
        <v>3.1140268960407336E-3</v>
      </c>
      <c r="K62" s="234">
        <v>3.3339560141839772E-3</v>
      </c>
      <c r="L62" s="234">
        <v>3.11150408919948E-3</v>
      </c>
      <c r="M62" s="234">
        <v>3.4092013170685599E-3</v>
      </c>
      <c r="N62" s="234">
        <v>2.6029165831528739E-3</v>
      </c>
      <c r="O62" s="234">
        <v>3.1715330991603638E-3</v>
      </c>
      <c r="P62" s="234">
        <v>2.5460710349636925E-3</v>
      </c>
      <c r="Q62" s="234">
        <v>2.8829834023627043E-3</v>
      </c>
      <c r="R62" s="234">
        <v>2.5815020612567361E-3</v>
      </c>
      <c r="S62" s="234">
        <v>2.9313501079006998E-3</v>
      </c>
      <c r="T62" s="234">
        <v>2.6915534811968993E-3</v>
      </c>
      <c r="U62" s="234">
        <v>2.5383796009621771E-3</v>
      </c>
      <c r="V62" s="234">
        <v>2.5190844672425814E-3</v>
      </c>
      <c r="W62" s="234">
        <v>2.1535114008957631E-3</v>
      </c>
      <c r="X62" s="234">
        <v>2.2896451738540304E-3</v>
      </c>
      <c r="Y62" s="234">
        <v>1.9772557966296991E-3</v>
      </c>
      <c r="Z62" s="234">
        <v>2.1921209549576937E-3</v>
      </c>
      <c r="AA62" s="234">
        <v>3.0354502361360797E-3</v>
      </c>
      <c r="AB62" s="234">
        <v>2.0307463206298195E-3</v>
      </c>
      <c r="AC62" s="234">
        <v>2.4467218456848336E-3</v>
      </c>
      <c r="AD62" s="234">
        <v>2.4447401163626326E-3</v>
      </c>
      <c r="AE62" s="234">
        <v>2.4227022353504363E-3</v>
      </c>
      <c r="AF62" s="234">
        <v>2.4241918278549504E-3</v>
      </c>
      <c r="AG62" s="234">
        <v>2.4192677804063356E-3</v>
      </c>
      <c r="AH62" s="234">
        <v>2.4186895623544637E-3</v>
      </c>
      <c r="AI62" s="234">
        <v>2.4164800516067735E-3</v>
      </c>
      <c r="AJ62" s="234">
        <v>2.4153241007264289E-3</v>
      </c>
      <c r="AK62" s="234">
        <v>2.4137575018629495E-3</v>
      </c>
    </row>
    <row r="63" spans="2:37" ht="18" x14ac:dyDescent="0.35">
      <c r="B63" s="430"/>
      <c r="C63" s="237" t="s">
        <v>1070</v>
      </c>
      <c r="D63" s="234">
        <v>1.0841965196323545E-3</v>
      </c>
      <c r="E63" s="234">
        <v>1.0990501259668703E-3</v>
      </c>
      <c r="F63" s="234">
        <v>1.2522906658450714E-3</v>
      </c>
      <c r="G63" s="234">
        <v>1.1672504242009921E-3</v>
      </c>
      <c r="H63" s="234">
        <v>1.0254492361904224E-3</v>
      </c>
      <c r="I63" s="234">
        <v>8.6584313840589084E-4</v>
      </c>
      <c r="J63" s="234">
        <v>1.1893536185640355E-3</v>
      </c>
      <c r="K63" s="234">
        <v>1.2614429189775995E-3</v>
      </c>
      <c r="L63" s="234">
        <v>1.1687814907222853E-3</v>
      </c>
      <c r="M63" s="234">
        <v>1.3013138866099865E-3</v>
      </c>
      <c r="N63" s="234">
        <v>1.0279470623286255E-3</v>
      </c>
      <c r="O63" s="234">
        <v>1.1880348810549106E-3</v>
      </c>
      <c r="P63" s="234">
        <v>9.765017658491873E-4</v>
      </c>
      <c r="Q63" s="234">
        <v>1.0651303371554028E-3</v>
      </c>
      <c r="R63" s="234">
        <v>9.547902949899891E-4</v>
      </c>
      <c r="S63" s="234">
        <v>1.0671886486940171E-3</v>
      </c>
      <c r="T63" s="234">
        <v>1.0007831443511717E-3</v>
      </c>
      <c r="U63" s="234">
        <v>9.3983880434890445E-4</v>
      </c>
      <c r="V63" s="234">
        <v>9.3077491118701168E-4</v>
      </c>
      <c r="W63" s="234">
        <v>8.1056662532571068E-4</v>
      </c>
      <c r="X63" s="234">
        <v>8.6676983066987065E-4</v>
      </c>
      <c r="Y63" s="234">
        <v>7.5663521607612712E-4</v>
      </c>
      <c r="Z63" s="234">
        <v>8.1718211220328839E-4</v>
      </c>
      <c r="AA63" s="234">
        <v>1.1040963177882295E-3</v>
      </c>
      <c r="AB63" s="234">
        <v>7.6008582096219587E-4</v>
      </c>
      <c r="AC63" s="234">
        <v>8.8355286533220066E-4</v>
      </c>
      <c r="AD63" s="234">
        <v>8.9801957651374951E-4</v>
      </c>
      <c r="AE63" s="234">
        <v>8.8320152682464588E-4</v>
      </c>
      <c r="AF63" s="234">
        <v>8.8731006856256295E-4</v>
      </c>
      <c r="AG63" s="234">
        <v>8.8389873045365149E-4</v>
      </c>
      <c r="AH63" s="234">
        <v>8.8462272526524863E-4</v>
      </c>
      <c r="AI63" s="234">
        <v>8.8347932932091998E-4</v>
      </c>
      <c r="AJ63" s="234">
        <v>8.8337525654671989E-4</v>
      </c>
      <c r="AK63" s="234">
        <v>8.827843733972084E-4</v>
      </c>
    </row>
    <row r="64" spans="2:37" ht="6" customHeight="1" thickBot="1" x14ac:dyDescent="0.3">
      <c r="B64" s="241"/>
      <c r="C64" s="237"/>
      <c r="D64" s="234"/>
      <c r="E64" s="234"/>
      <c r="F64" s="234"/>
      <c r="G64" s="234"/>
      <c r="H64" s="234"/>
      <c r="I64" s="234"/>
      <c r="J64" s="234"/>
      <c r="K64" s="234"/>
      <c r="L64" s="234"/>
      <c r="M64" s="234"/>
      <c r="N64" s="234"/>
      <c r="O64" s="234"/>
      <c r="P64" s="234"/>
      <c r="Q64" s="234"/>
      <c r="R64" s="234"/>
      <c r="S64" s="234"/>
      <c r="T64" s="234"/>
      <c r="U64" s="234"/>
      <c r="V64" s="234"/>
      <c r="W64" s="234"/>
      <c r="X64" s="234"/>
      <c r="Y64" s="234"/>
      <c r="Z64" s="234"/>
      <c r="AA64" s="234"/>
      <c r="AB64" s="234"/>
      <c r="AC64" s="234"/>
      <c r="AD64" s="234"/>
      <c r="AE64" s="234"/>
      <c r="AF64" s="234"/>
      <c r="AG64" s="234"/>
      <c r="AH64" s="234"/>
      <c r="AI64" s="234"/>
      <c r="AJ64" s="234"/>
      <c r="AK64" s="234"/>
    </row>
    <row r="65" spans="2:43" s="245" customFormat="1" ht="15.75" thickTop="1" x14ac:dyDescent="0.25">
      <c r="B65" s="242" t="s">
        <v>535</v>
      </c>
      <c r="C65" s="243"/>
      <c r="D65" s="244">
        <f>SUM(D15+D24+D55+D58+D59+D60+D61)</f>
        <v>9.5999810873083078</v>
      </c>
      <c r="E65" s="244">
        <f t="shared" ref="E65:AJ65" si="0">SUM(E15+E24+E55+E58+E59+E60+E61)</f>
        <v>10.00499861281812</v>
      </c>
      <c r="F65" s="244">
        <f t="shared" si="0"/>
        <v>9.2447710378328267</v>
      </c>
      <c r="G65" s="244">
        <f t="shared" si="0"/>
        <v>9.6200777816568834</v>
      </c>
      <c r="H65" s="244">
        <f t="shared" si="0"/>
        <v>9.9306042558630825</v>
      </c>
      <c r="I65" s="244">
        <f t="shared" si="0"/>
        <v>10.294065136801743</v>
      </c>
      <c r="J65" s="244">
        <f t="shared" si="0"/>
        <v>11.314773783785917</v>
      </c>
      <c r="K65" s="244">
        <f t="shared" si="0"/>
        <v>10.980718846454113</v>
      </c>
      <c r="L65" s="244">
        <f t="shared" si="0"/>
        <v>10.816451112586986</v>
      </c>
      <c r="M65" s="244">
        <f t="shared" si="0"/>
        <v>11.095613083772603</v>
      </c>
      <c r="N65" s="244">
        <f t="shared" si="0"/>
        <v>10.493948920727989</v>
      </c>
      <c r="O65" s="244">
        <f t="shared" si="0"/>
        <v>10.850011380729107</v>
      </c>
      <c r="P65" s="244">
        <f t="shared" si="0"/>
        <v>11.435517681756723</v>
      </c>
      <c r="Q65" s="244">
        <f t="shared" si="0"/>
        <v>11.233747100298068</v>
      </c>
      <c r="R65" s="244">
        <f t="shared" si="0"/>
        <v>11.629760680255783</v>
      </c>
      <c r="S65" s="244">
        <f t="shared" si="0"/>
        <v>11.487809716039878</v>
      </c>
      <c r="T65" s="244">
        <f t="shared" si="0"/>
        <v>12.150823753280642</v>
      </c>
      <c r="U65" s="244">
        <f t="shared" si="0"/>
        <v>11.429175470385925</v>
      </c>
      <c r="V65" s="244">
        <f t="shared" si="0"/>
        <v>12.102752681836462</v>
      </c>
      <c r="W65" s="244">
        <f t="shared" si="0"/>
        <v>11.572025792007203</v>
      </c>
      <c r="X65" s="244">
        <f t="shared" si="0"/>
        <v>11.842553543100756</v>
      </c>
      <c r="Y65" s="244">
        <f t="shared" si="0"/>
        <v>10.905077068451046</v>
      </c>
      <c r="Z65" s="244">
        <f t="shared" si="0"/>
        <v>10.696765819770052</v>
      </c>
      <c r="AA65" s="244">
        <f t="shared" si="0"/>
        <v>11.593186320443866</v>
      </c>
      <c r="AB65" s="244">
        <f t="shared" si="0"/>
        <v>10.948829903751152</v>
      </c>
      <c r="AC65" s="244">
        <f t="shared" si="0"/>
        <v>11.359963081892772</v>
      </c>
      <c r="AD65" s="244">
        <f t="shared" si="0"/>
        <v>10.656657482500854</v>
      </c>
      <c r="AE65" s="244">
        <f t="shared" si="0"/>
        <v>11.429974973700514</v>
      </c>
      <c r="AF65" s="244">
        <f t="shared" si="0"/>
        <v>11.144976443942836</v>
      </c>
      <c r="AG65" s="244">
        <f t="shared" si="0"/>
        <v>10.905454187155115</v>
      </c>
      <c r="AH65" s="244">
        <f t="shared" si="0"/>
        <v>10.39680046225881</v>
      </c>
      <c r="AI65" s="244">
        <f t="shared" si="0"/>
        <v>10.517634556330142</v>
      </c>
      <c r="AJ65" s="244">
        <f t="shared" si="0"/>
        <v>10.000460286487241</v>
      </c>
      <c r="AK65" s="362">
        <f>SUM(AK15+AK24+AK55+AK58+AK59+AK60+AK61)</f>
        <v>10.071883038896656</v>
      </c>
      <c r="AL65" s="222"/>
      <c r="AM65" s="222"/>
      <c r="AN65" s="222"/>
      <c r="AO65" s="222"/>
      <c r="AP65" s="222"/>
      <c r="AQ65" s="222"/>
    </row>
    <row r="66" spans="2:43" x14ac:dyDescent="0.25">
      <c r="D66" s="246"/>
      <c r="E66" s="246"/>
      <c r="F66" s="246"/>
      <c r="G66" s="246"/>
      <c r="H66" s="246"/>
      <c r="I66" s="246"/>
      <c r="J66" s="246"/>
      <c r="K66" s="246"/>
      <c r="L66" s="246"/>
      <c r="M66" s="246"/>
      <c r="N66" s="246"/>
      <c r="O66" s="246"/>
      <c r="P66" s="246"/>
      <c r="Q66" s="246"/>
      <c r="R66" s="246"/>
      <c r="S66" s="246"/>
      <c r="T66" s="246"/>
      <c r="U66" s="246"/>
      <c r="V66" s="246"/>
      <c r="W66" s="246"/>
      <c r="X66" s="246"/>
      <c r="Y66" s="246"/>
      <c r="Z66" s="246"/>
      <c r="AA66" s="246"/>
      <c r="AB66" s="246"/>
      <c r="AC66" s="246"/>
      <c r="AD66" s="246"/>
      <c r="AE66" s="246"/>
      <c r="AF66" s="246"/>
      <c r="AG66" s="246"/>
      <c r="AH66" s="246"/>
      <c r="AI66" s="246"/>
      <c r="AJ66" s="246"/>
      <c r="AK66" s="246"/>
    </row>
    <row r="67" spans="2:43" x14ac:dyDescent="0.25">
      <c r="C67" s="221"/>
      <c r="D67" s="246"/>
      <c r="E67" s="246"/>
      <c r="F67" s="246"/>
      <c r="G67" s="246"/>
      <c r="H67" s="246"/>
      <c r="I67" s="246"/>
      <c r="J67" s="246"/>
      <c r="K67" s="246"/>
      <c r="L67" s="246"/>
      <c r="M67" s="246"/>
      <c r="N67" s="246"/>
      <c r="O67" s="246"/>
      <c r="P67" s="246"/>
      <c r="Q67" s="246"/>
      <c r="R67" s="246"/>
      <c r="S67" s="246"/>
      <c r="T67" s="246"/>
      <c r="U67" s="246"/>
      <c r="V67" s="246"/>
      <c r="W67" s="246"/>
      <c r="X67" s="246"/>
      <c r="Y67" s="246"/>
      <c r="Z67" s="246"/>
      <c r="AA67" s="246"/>
      <c r="AB67" s="246"/>
      <c r="AC67" s="246"/>
      <c r="AD67" s="246"/>
      <c r="AE67" s="246"/>
      <c r="AF67" s="246"/>
      <c r="AG67" s="246"/>
      <c r="AH67" s="246"/>
      <c r="AI67" s="246"/>
      <c r="AJ67" s="246"/>
      <c r="AK67" s="246"/>
    </row>
  </sheetData>
  <mergeCells count="2">
    <mergeCell ref="D3:AK3"/>
    <mergeCell ref="B61:B6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9B799-FB41-456E-88EE-5AF02CDCA7FA}">
  <sheetPr>
    <tabColor rgb="FF0F4217"/>
  </sheetPr>
  <dimension ref="A1:I69"/>
  <sheetViews>
    <sheetView zoomScaleNormal="100" workbookViewId="0">
      <selection activeCell="D2" sqref="D2"/>
    </sheetView>
  </sheetViews>
  <sheetFormatPr defaultRowHeight="15" x14ac:dyDescent="0.25"/>
  <cols>
    <col min="1" max="1" width="25" customWidth="1"/>
    <col min="2" max="3" width="14.7109375" customWidth="1"/>
    <col min="4" max="4" width="17.7109375" customWidth="1"/>
    <col min="5" max="6" width="14.7109375" customWidth="1"/>
    <col min="7" max="7" width="17.7109375" customWidth="1"/>
    <col min="8" max="8" width="14.7109375" customWidth="1"/>
    <col min="9" max="9" width="25" customWidth="1"/>
    <col min="10" max="11" width="14.7109375" customWidth="1"/>
    <col min="12" max="12" width="16.7109375" bestFit="1" customWidth="1"/>
  </cols>
  <sheetData>
    <row r="1" spans="1:6" ht="18.75" x14ac:dyDescent="0.3">
      <c r="A1" s="102" t="s">
        <v>1080</v>
      </c>
    </row>
    <row r="4" spans="1:6" ht="15.75" x14ac:dyDescent="0.25">
      <c r="A4" s="282" t="s">
        <v>1081</v>
      </c>
    </row>
    <row r="6" spans="1:6" ht="51.75" thickBot="1" x14ac:dyDescent="0.4">
      <c r="A6" s="318" t="s">
        <v>35</v>
      </c>
      <c r="B6" s="319" t="s">
        <v>1082</v>
      </c>
      <c r="C6" s="319" t="s">
        <v>1083</v>
      </c>
      <c r="D6" s="319" t="s">
        <v>1084</v>
      </c>
      <c r="E6" s="319" t="s">
        <v>1085</v>
      </c>
      <c r="F6" s="319" t="s">
        <v>1086</v>
      </c>
    </row>
    <row r="7" spans="1:6" ht="15.75" thickTop="1" x14ac:dyDescent="0.25">
      <c r="A7" s="320" t="s">
        <v>1087</v>
      </c>
      <c r="B7" s="321">
        <f>($C18*1000)*E35/1000</f>
        <v>518.98</v>
      </c>
      <c r="C7" s="321">
        <f>($C18*1000)*F35/1000000</f>
        <v>7.3853919058214812E-2</v>
      </c>
      <c r="D7" s="321">
        <f>($C18*1000)*G35/1000000</f>
        <v>4.431235143492889E-3</v>
      </c>
      <c r="E7" s="321">
        <f>SUM(B7*$C$57,C7*$C$58,D7*$C$59)</f>
        <v>522.22218704665568</v>
      </c>
      <c r="F7" s="321">
        <v>0</v>
      </c>
    </row>
    <row r="8" spans="1:6" x14ac:dyDescent="0.25">
      <c r="A8" s="2" t="s">
        <v>19</v>
      </c>
      <c r="B8" s="322">
        <f>($C19*1000)*E36/1000</f>
        <v>73.186666666666667</v>
      </c>
      <c r="C8" s="322">
        <f>($C19*1000)*F36/1000000</f>
        <v>1.0550559865459259E-2</v>
      </c>
      <c r="D8" s="322">
        <f>($C19*1000)*G36/1000000</f>
        <v>6.3303359192755555E-4</v>
      </c>
      <c r="E8" s="321">
        <f>SUM(B8*$C$57,C8*$C$58,D8*$C$59)</f>
        <v>73.649836244760337</v>
      </c>
      <c r="F8" s="322">
        <v>0</v>
      </c>
    </row>
    <row r="9" spans="1:6" x14ac:dyDescent="0.25">
      <c r="A9" s="2" t="s">
        <v>11</v>
      </c>
      <c r="B9" s="322">
        <f>($C20*1000)*E34/1000</f>
        <v>1996823.3999999997</v>
      </c>
      <c r="C9" s="322">
        <f>($C20*1000)*F34/1000000</f>
        <v>199.08906466121624</v>
      </c>
      <c r="D9" s="322">
        <f>($C20*1000)*G34/1000000</f>
        <v>3.9817812932243251</v>
      </c>
      <c r="E9" s="321">
        <f>SUM(B9*$C$57,C9*$C$58,D9*$C$59)</f>
        <v>2003453.0658532181</v>
      </c>
      <c r="F9" s="322">
        <v>0</v>
      </c>
    </row>
    <row r="10" spans="1:6" x14ac:dyDescent="0.25">
      <c r="A10" s="2" t="s">
        <v>26</v>
      </c>
      <c r="B10" s="322">
        <f>($C21*1000)*E37/1000</f>
        <v>289577.74999999994</v>
      </c>
      <c r="C10" s="322">
        <f>($C21*1000)*F37/1000000</f>
        <v>48.585328180439888</v>
      </c>
      <c r="D10" s="322">
        <f>($C21*1000)*G37/1000000</f>
        <v>2.9151196908263937</v>
      </c>
      <c r="E10" s="321">
        <f>SUM(B10*$C$57,C10*$C$58,D10*$C$59)</f>
        <v>291710.64590712124</v>
      </c>
      <c r="F10" s="322">
        <v>0</v>
      </c>
    </row>
    <row r="11" spans="1:6" ht="15.75" thickBot="1" x14ac:dyDescent="0.3">
      <c r="A11" s="318" t="s">
        <v>29</v>
      </c>
      <c r="B11" s="323">
        <v>0</v>
      </c>
      <c r="C11" s="323">
        <f>($C22*1000)*F38/1000000</f>
        <v>1755.7186672110759</v>
      </c>
      <c r="D11" s="323">
        <f>($C22*1000)*G38/1000000</f>
        <v>23.409582229481007</v>
      </c>
      <c r="E11" s="323">
        <f>SUM(B11*$C$57,C11*$C$58,D11*$C$59)</f>
        <v>55363.661972722592</v>
      </c>
      <c r="F11" s="323">
        <f>($C22*1000)*B46/1000</f>
        <v>520308.6</v>
      </c>
    </row>
    <row r="12" spans="1:6" ht="15.75" thickTop="1" x14ac:dyDescent="0.25">
      <c r="A12" s="320" t="s">
        <v>535</v>
      </c>
      <c r="B12" s="324">
        <f>SUM(B7:B11)</f>
        <v>2286993.3166666664</v>
      </c>
      <c r="C12" s="324">
        <f>SUM(C7:C11)</f>
        <v>2003.4774645316556</v>
      </c>
      <c r="D12" s="324">
        <f>SUM(D7:D11)</f>
        <v>30.311547482267144</v>
      </c>
      <c r="E12" s="324">
        <f>SUM(E7:E11)</f>
        <v>2351123.2457563533</v>
      </c>
      <c r="F12" s="324">
        <f>SUM(F7:F11)</f>
        <v>520308.6</v>
      </c>
    </row>
    <row r="15" spans="1:6" ht="15.75" x14ac:dyDescent="0.25">
      <c r="A15" s="282" t="s">
        <v>1088</v>
      </c>
    </row>
    <row r="16" spans="1:6" x14ac:dyDescent="0.25">
      <c r="B16" s="1" t="s">
        <v>1089</v>
      </c>
      <c r="E16" s="1" t="s">
        <v>1090</v>
      </c>
    </row>
    <row r="17" spans="1:9" ht="15.75" thickBot="1" x14ac:dyDescent="0.3">
      <c r="A17" s="318" t="s">
        <v>35</v>
      </c>
      <c r="B17" s="325" t="s">
        <v>173</v>
      </c>
      <c r="C17" s="325" t="s">
        <v>1091</v>
      </c>
      <c r="D17" s="326" t="s">
        <v>1092</v>
      </c>
      <c r="E17" s="327" t="s">
        <v>173</v>
      </c>
      <c r="F17" s="325" t="s">
        <v>1091</v>
      </c>
      <c r="G17" s="326" t="s">
        <v>1092</v>
      </c>
    </row>
    <row r="18" spans="1:9" ht="15.75" thickTop="1" x14ac:dyDescent="0.25">
      <c r="A18" s="328" t="s">
        <v>1087</v>
      </c>
      <c r="B18" t="s">
        <v>1093</v>
      </c>
      <c r="C18" s="8">
        <v>7</v>
      </c>
      <c r="D18" s="329" t="s">
        <v>185</v>
      </c>
      <c r="E18" s="330" t="s">
        <v>1094</v>
      </c>
      <c r="F18" s="8">
        <v>1</v>
      </c>
      <c r="G18" s="329" t="s">
        <v>188</v>
      </c>
      <c r="I18" s="331"/>
    </row>
    <row r="19" spans="1:9" x14ac:dyDescent="0.25">
      <c r="A19" s="328" t="s">
        <v>19</v>
      </c>
      <c r="B19" t="s">
        <v>1095</v>
      </c>
      <c r="C19" s="8">
        <v>1</v>
      </c>
      <c r="D19" s="329" t="s">
        <v>185</v>
      </c>
      <c r="E19" s="330" t="s">
        <v>1096</v>
      </c>
      <c r="F19" s="8">
        <v>0</v>
      </c>
      <c r="G19" s="329" t="s">
        <v>188</v>
      </c>
      <c r="I19" s="331"/>
    </row>
    <row r="20" spans="1:9" x14ac:dyDescent="0.25">
      <c r="A20" s="328" t="s">
        <v>11</v>
      </c>
      <c r="B20" t="s">
        <v>1097</v>
      </c>
      <c r="C20" s="8">
        <v>37740</v>
      </c>
      <c r="D20" s="329" t="s">
        <v>185</v>
      </c>
      <c r="E20" s="330" t="s">
        <v>1098</v>
      </c>
      <c r="F20" s="8">
        <v>36773</v>
      </c>
      <c r="G20" s="329" t="s">
        <v>256</v>
      </c>
      <c r="I20" s="5"/>
    </row>
    <row r="21" spans="1:9" x14ac:dyDescent="0.25">
      <c r="A21" s="328" t="s">
        <v>26</v>
      </c>
      <c r="B21" t="s">
        <v>1099</v>
      </c>
      <c r="C21" s="8">
        <v>4605</v>
      </c>
      <c r="D21" s="329" t="s">
        <v>185</v>
      </c>
      <c r="E21" s="330" t="s">
        <v>1100</v>
      </c>
      <c r="F21" s="8">
        <v>1199</v>
      </c>
      <c r="G21" s="329" t="s">
        <v>188</v>
      </c>
      <c r="I21" s="5"/>
    </row>
    <row r="22" spans="1:9" x14ac:dyDescent="0.25">
      <c r="A22" s="320" t="s">
        <v>318</v>
      </c>
      <c r="B22" s="332" t="s">
        <v>1101</v>
      </c>
      <c r="C22" s="333">
        <v>5547</v>
      </c>
      <c r="D22" s="334" t="s">
        <v>185</v>
      </c>
      <c r="E22" s="335" t="s">
        <v>543</v>
      </c>
      <c r="F22" s="336" t="s">
        <v>543</v>
      </c>
      <c r="G22" s="337" t="s">
        <v>543</v>
      </c>
      <c r="I22" s="5"/>
    </row>
    <row r="24" spans="1:9" x14ac:dyDescent="0.25">
      <c r="A24" s="217" t="s">
        <v>1102</v>
      </c>
    </row>
    <row r="25" spans="1:9" x14ac:dyDescent="0.25">
      <c r="A25" s="217" t="s">
        <v>1103</v>
      </c>
    </row>
    <row r="26" spans="1:9" x14ac:dyDescent="0.25">
      <c r="A26" s="217" t="s">
        <v>1104</v>
      </c>
    </row>
    <row r="27" spans="1:9" x14ac:dyDescent="0.25">
      <c r="A27" s="338" t="s">
        <v>1105</v>
      </c>
    </row>
    <row r="28" spans="1:9" x14ac:dyDescent="0.25">
      <c r="A28" s="218" t="s">
        <v>1106</v>
      </c>
    </row>
    <row r="31" spans="1:9" ht="15.75" x14ac:dyDescent="0.25">
      <c r="A31" s="282" t="s">
        <v>1107</v>
      </c>
    </row>
    <row r="33" spans="1:7" ht="36.75" thickBot="1" x14ac:dyDescent="0.4">
      <c r="A33" s="318" t="s">
        <v>1</v>
      </c>
      <c r="B33" s="319" t="s">
        <v>1108</v>
      </c>
      <c r="C33" s="319" t="s">
        <v>1109</v>
      </c>
      <c r="D33" s="319" t="s">
        <v>1110</v>
      </c>
      <c r="E33" s="319" t="s">
        <v>1111</v>
      </c>
      <c r="F33" s="319" t="s">
        <v>1112</v>
      </c>
      <c r="G33" s="319" t="s">
        <v>1113</v>
      </c>
    </row>
    <row r="34" spans="1:7" ht="15.75" thickTop="1" x14ac:dyDescent="0.25">
      <c r="A34" s="339" t="s">
        <v>11</v>
      </c>
      <c r="B34" s="320">
        <v>14.43</v>
      </c>
      <c r="C34" s="320">
        <v>5</v>
      </c>
      <c r="D34" s="320">
        <v>0.1</v>
      </c>
      <c r="E34" s="340">
        <f>B34*44/12</f>
        <v>52.91</v>
      </c>
      <c r="F34" s="341">
        <f t="shared" ref="F34:G38" si="0">C34/$B$69</f>
        <v>5.2752799327296298</v>
      </c>
      <c r="G34" s="341">
        <f t="shared" si="0"/>
        <v>0.10550559865459261</v>
      </c>
    </row>
    <row r="35" spans="1:7" x14ac:dyDescent="0.25">
      <c r="A35" s="342" t="s">
        <v>1114</v>
      </c>
      <c r="B35" s="2">
        <v>20.22</v>
      </c>
      <c r="C35" s="2">
        <v>10</v>
      </c>
      <c r="D35" s="2">
        <v>0.6</v>
      </c>
      <c r="E35" s="340">
        <f t="shared" ref="E35:E37" si="1">B35*44/12</f>
        <v>74.14</v>
      </c>
      <c r="F35" s="341">
        <f t="shared" si="0"/>
        <v>10.55055986545926</v>
      </c>
      <c r="G35" s="341">
        <f t="shared" si="0"/>
        <v>0.63303359192755559</v>
      </c>
    </row>
    <row r="36" spans="1:7" x14ac:dyDescent="0.25">
      <c r="A36" s="342" t="s">
        <v>19</v>
      </c>
      <c r="B36" s="2">
        <v>19.96</v>
      </c>
      <c r="C36" s="2">
        <v>10</v>
      </c>
      <c r="D36" s="2">
        <v>0.6</v>
      </c>
      <c r="E36" s="340">
        <f t="shared" si="1"/>
        <v>73.186666666666667</v>
      </c>
      <c r="F36" s="341">
        <f t="shared" si="0"/>
        <v>10.55055986545926</v>
      </c>
      <c r="G36" s="341">
        <f t="shared" si="0"/>
        <v>0.63303359192755559</v>
      </c>
    </row>
    <row r="37" spans="1:7" x14ac:dyDescent="0.25">
      <c r="A37" s="342" t="s">
        <v>1115</v>
      </c>
      <c r="B37" s="2">
        <v>17.149999999999999</v>
      </c>
      <c r="C37" s="2">
        <v>10</v>
      </c>
      <c r="D37" s="2">
        <v>0.6</v>
      </c>
      <c r="E37" s="340">
        <f t="shared" si="1"/>
        <v>62.883333333333326</v>
      </c>
      <c r="F37" s="341">
        <f t="shared" si="0"/>
        <v>10.55055986545926</v>
      </c>
      <c r="G37" s="341">
        <f t="shared" si="0"/>
        <v>0.63303359192755559</v>
      </c>
    </row>
    <row r="38" spans="1:7" x14ac:dyDescent="0.25">
      <c r="A38" s="342" t="s">
        <v>29</v>
      </c>
      <c r="B38" s="343" t="s">
        <v>1116</v>
      </c>
      <c r="C38" s="2">
        <v>300</v>
      </c>
      <c r="D38" s="114">
        <v>4</v>
      </c>
      <c r="E38" s="344" t="s">
        <v>1116</v>
      </c>
      <c r="F38" s="341">
        <f t="shared" si="0"/>
        <v>316.51679596377784</v>
      </c>
      <c r="G38" s="341">
        <f t="shared" si="0"/>
        <v>4.2202239461837046</v>
      </c>
    </row>
    <row r="40" spans="1:7" x14ac:dyDescent="0.25">
      <c r="A40" s="345" t="s">
        <v>1117</v>
      </c>
    </row>
    <row r="41" spans="1:7" x14ac:dyDescent="0.25">
      <c r="A41" s="217" t="s">
        <v>1118</v>
      </c>
    </row>
    <row r="42" spans="1:7" x14ac:dyDescent="0.25">
      <c r="A42" s="217" t="s">
        <v>1119</v>
      </c>
    </row>
    <row r="43" spans="1:7" x14ac:dyDescent="0.25">
      <c r="A43" s="218" t="s">
        <v>1120</v>
      </c>
    </row>
    <row r="44" spans="1:7" x14ac:dyDescent="0.25">
      <c r="A44" s="218"/>
    </row>
    <row r="45" spans="1:7" ht="36.75" thickBot="1" x14ac:dyDescent="0.4">
      <c r="A45" s="318" t="s">
        <v>1</v>
      </c>
      <c r="B45" s="319" t="s">
        <v>1111</v>
      </c>
    </row>
    <row r="46" spans="1:7" ht="15.75" thickTop="1" x14ac:dyDescent="0.25">
      <c r="A46" s="320" t="s">
        <v>1121</v>
      </c>
      <c r="B46" s="340">
        <v>93.8</v>
      </c>
    </row>
    <row r="48" spans="1:7" x14ac:dyDescent="0.25">
      <c r="A48" s="217" t="s">
        <v>1122</v>
      </c>
    </row>
    <row r="49" spans="1:3" x14ac:dyDescent="0.25">
      <c r="A49" s="217" t="s">
        <v>1123</v>
      </c>
    </row>
    <row r="50" spans="1:3" x14ac:dyDescent="0.25">
      <c r="A50" s="217" t="s">
        <v>1124</v>
      </c>
    </row>
    <row r="51" spans="1:3" x14ac:dyDescent="0.25">
      <c r="A51" s="218" t="s">
        <v>1125</v>
      </c>
    </row>
    <row r="54" spans="1:3" ht="15.75" x14ac:dyDescent="0.25">
      <c r="A54" s="282" t="s">
        <v>555</v>
      </c>
    </row>
    <row r="56" spans="1:3" ht="30.75" thickBot="1" x14ac:dyDescent="0.3">
      <c r="A56" s="319" t="s">
        <v>556</v>
      </c>
      <c r="B56" s="319" t="s">
        <v>557</v>
      </c>
      <c r="C56" s="319" t="s">
        <v>558</v>
      </c>
    </row>
    <row r="57" spans="1:3" ht="18.75" thickTop="1" x14ac:dyDescent="0.35">
      <c r="A57" s="320" t="s">
        <v>559</v>
      </c>
      <c r="B57" s="320" t="s">
        <v>560</v>
      </c>
      <c r="C57" s="320">
        <v>1</v>
      </c>
    </row>
    <row r="58" spans="1:3" ht="18" x14ac:dyDescent="0.35">
      <c r="A58" s="2" t="s">
        <v>410</v>
      </c>
      <c r="B58" s="2" t="s">
        <v>561</v>
      </c>
      <c r="C58" s="2">
        <v>28</v>
      </c>
    </row>
    <row r="59" spans="1:3" ht="18" x14ac:dyDescent="0.35">
      <c r="A59" s="2" t="s">
        <v>562</v>
      </c>
      <c r="B59" s="2" t="s">
        <v>563</v>
      </c>
      <c r="C59" s="2">
        <v>265</v>
      </c>
    </row>
    <row r="61" spans="1:3" x14ac:dyDescent="0.25">
      <c r="A61" s="217" t="s">
        <v>1122</v>
      </c>
    </row>
    <row r="62" spans="1:3" x14ac:dyDescent="0.25">
      <c r="A62" s="217" t="s">
        <v>1123</v>
      </c>
    </row>
    <row r="63" spans="1:3" x14ac:dyDescent="0.25">
      <c r="A63" s="217" t="s">
        <v>1126</v>
      </c>
    </row>
    <row r="64" spans="1:3" x14ac:dyDescent="0.25">
      <c r="A64" s="218" t="s">
        <v>1125</v>
      </c>
    </row>
    <row r="67" spans="1:3" ht="15.75" x14ac:dyDescent="0.25">
      <c r="A67" s="282" t="s">
        <v>1127</v>
      </c>
    </row>
    <row r="69" spans="1:3" x14ac:dyDescent="0.25">
      <c r="A69" t="s">
        <v>1128</v>
      </c>
      <c r="B69">
        <v>0.94781700000000002</v>
      </c>
      <c r="C69" t="s">
        <v>1129</v>
      </c>
    </row>
  </sheetData>
  <hyperlinks>
    <hyperlink ref="A28" r:id="rId1" xr:uid="{13D3CE2C-ECDE-4724-B2A6-D109F9E28C7E}"/>
    <hyperlink ref="A51" r:id="rId2" xr:uid="{60995B5F-383E-4538-8E32-D5EBCF4AF043}"/>
    <hyperlink ref="A64" r:id="rId3" xr:uid="{A2AA3009-F99B-497D-B369-7D08FA4A83FD}"/>
    <hyperlink ref="A43" r:id="rId4" xr:uid="{D12D05EB-9ACB-449D-93AE-08A5C427873C}"/>
  </hyperlinks>
  <pageMargins left="0.7" right="0.7" top="0.75" bottom="0.75" header="0.3" footer="0.3"/>
  <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6488A-59CE-4C4C-AECF-2E2505F23366}">
  <sheetPr>
    <tabColor rgb="FF196D27"/>
  </sheetPr>
  <dimension ref="A1:H142"/>
  <sheetViews>
    <sheetView zoomScaleNormal="100" workbookViewId="0">
      <selection activeCell="E7" sqref="E7:E11"/>
    </sheetView>
  </sheetViews>
  <sheetFormatPr defaultRowHeight="15" x14ac:dyDescent="0.25"/>
  <cols>
    <col min="1" max="1" width="25" customWidth="1"/>
    <col min="2" max="3" width="14.7109375" customWidth="1"/>
    <col min="4" max="4" width="17.7109375" customWidth="1"/>
    <col min="5" max="6" width="14.7109375" customWidth="1"/>
    <col min="7" max="7" width="17.7109375" customWidth="1"/>
    <col min="8" max="8" width="14.7109375" customWidth="1"/>
    <col min="9" max="9" width="25" customWidth="1"/>
    <col min="10" max="11" width="14.7109375" customWidth="1"/>
    <col min="12" max="12" width="16.7109375" bestFit="1" customWidth="1"/>
  </cols>
  <sheetData>
    <row r="1" spans="1:6" ht="18.75" x14ac:dyDescent="0.3">
      <c r="A1" s="102" t="s">
        <v>1130</v>
      </c>
    </row>
    <row r="4" spans="1:6" ht="15.75" x14ac:dyDescent="0.25">
      <c r="A4" s="282" t="s">
        <v>1131</v>
      </c>
    </row>
    <row r="6" spans="1:6" ht="51.75" thickBot="1" x14ac:dyDescent="0.4">
      <c r="A6" s="318" t="s">
        <v>35</v>
      </c>
      <c r="B6" s="319" t="s">
        <v>1082</v>
      </c>
      <c r="C6" s="346" t="s">
        <v>1132</v>
      </c>
      <c r="D6" s="319" t="s">
        <v>1084</v>
      </c>
      <c r="E6" s="319" t="s">
        <v>1085</v>
      </c>
      <c r="F6" s="319" t="s">
        <v>1086</v>
      </c>
    </row>
    <row r="7" spans="1:6" ht="15.75" thickTop="1" x14ac:dyDescent="0.25">
      <c r="A7" s="320" t="s">
        <v>1087</v>
      </c>
      <c r="B7" s="321">
        <f>B36</f>
        <v>105501.22</v>
      </c>
      <c r="C7" s="321">
        <f>C36</f>
        <v>15.013446688548525</v>
      </c>
      <c r="D7" s="321">
        <f>D36</f>
        <v>0.90080680131291158</v>
      </c>
      <c r="E7" s="321">
        <f>SUM(B7*$C$128,C7*$C$129,D7*$C$130)</f>
        <v>106160.31030962728</v>
      </c>
      <c r="F7" s="321">
        <f>F36</f>
        <v>0</v>
      </c>
    </row>
    <row r="8" spans="1:6" x14ac:dyDescent="0.25">
      <c r="A8" s="2" t="s">
        <v>19</v>
      </c>
      <c r="B8" s="321">
        <f>B38</f>
        <v>73.186666666666667</v>
      </c>
      <c r="C8" s="321">
        <f>C38</f>
        <v>1.0550559865459259E-2</v>
      </c>
      <c r="D8" s="321">
        <f>D38</f>
        <v>6.3303359192755555E-4</v>
      </c>
      <c r="E8" s="321">
        <f t="shared" ref="E8:E11" si="0">SUM(B8*$C$128,C8*$C$129,D8*$C$130)</f>
        <v>73.649836244760337</v>
      </c>
      <c r="F8" s="321">
        <f>F38</f>
        <v>0</v>
      </c>
    </row>
    <row r="9" spans="1:6" x14ac:dyDescent="0.25">
      <c r="A9" s="2" t="s">
        <v>11</v>
      </c>
      <c r="B9" s="321">
        <f>B40-(F93*B140)</f>
        <v>1475050.987818165</v>
      </c>
      <c r="C9" s="321">
        <f>C40-(G93*B141)</f>
        <v>149.5199463007994</v>
      </c>
      <c r="D9" s="321">
        <f>D40-(H93*B141)</f>
        <v>2.9447335242004686</v>
      </c>
      <c r="E9" s="321">
        <f t="shared" si="0"/>
        <v>1480017.9006985005</v>
      </c>
      <c r="F9" s="321">
        <f>F40</f>
        <v>0</v>
      </c>
    </row>
    <row r="10" spans="1:6" x14ac:dyDescent="0.25">
      <c r="A10" s="2" t="s">
        <v>26</v>
      </c>
      <c r="B10" s="321">
        <f t="shared" ref="B10:D11" si="1">B41</f>
        <v>102248.29999999999</v>
      </c>
      <c r="C10" s="321">
        <f t="shared" si="1"/>
        <v>17.155210341236756</v>
      </c>
      <c r="D10" s="321">
        <f t="shared" si="1"/>
        <v>1.0293126204742054</v>
      </c>
      <c r="E10" s="321">
        <f t="shared" si="0"/>
        <v>103001.41373398028</v>
      </c>
      <c r="F10" s="321">
        <f>F41</f>
        <v>0</v>
      </c>
    </row>
    <row r="11" spans="1:6" ht="15.75" thickBot="1" x14ac:dyDescent="0.3">
      <c r="A11" s="318" t="s">
        <v>29</v>
      </c>
      <c r="B11" s="323">
        <f t="shared" si="1"/>
        <v>0</v>
      </c>
      <c r="C11" s="323">
        <f t="shared" si="1"/>
        <v>315.56724557588649</v>
      </c>
      <c r="D11" s="323">
        <f t="shared" si="1"/>
        <v>4.2075632743451532</v>
      </c>
      <c r="E11" s="323">
        <f t="shared" si="0"/>
        <v>9950.8871438262886</v>
      </c>
      <c r="F11" s="323">
        <f>F42</f>
        <v>93518.6</v>
      </c>
    </row>
    <row r="12" spans="1:6" ht="15.75" thickTop="1" x14ac:dyDescent="0.25">
      <c r="A12" s="320" t="s">
        <v>535</v>
      </c>
      <c r="B12" s="324">
        <f>SUM(B7:B11)</f>
        <v>1682873.6944848318</v>
      </c>
      <c r="C12" s="324">
        <f>SUM(C7:C11)</f>
        <v>497.26639946633668</v>
      </c>
      <c r="D12" s="324">
        <f>SUM(D7:D11)</f>
        <v>9.083049253924667</v>
      </c>
      <c r="E12" s="324">
        <f>SUM(E7:E11)</f>
        <v>1699204.1617221793</v>
      </c>
      <c r="F12" s="324">
        <f>SUM(F7:F11)</f>
        <v>93518.6</v>
      </c>
    </row>
    <row r="15" spans="1:6" ht="15.75" x14ac:dyDescent="0.25">
      <c r="A15" s="282" t="s">
        <v>1133</v>
      </c>
    </row>
    <row r="16" spans="1:6" x14ac:dyDescent="0.25">
      <c r="B16" s="1" t="s">
        <v>1089</v>
      </c>
      <c r="E16" s="1" t="s">
        <v>1090</v>
      </c>
    </row>
    <row r="17" spans="1:8" ht="15.75" thickBot="1" x14ac:dyDescent="0.3">
      <c r="A17" s="318" t="s">
        <v>35</v>
      </c>
      <c r="B17" s="327" t="s">
        <v>173</v>
      </c>
      <c r="C17" s="325" t="s">
        <v>1091</v>
      </c>
      <c r="D17" s="326" t="s">
        <v>1092</v>
      </c>
      <c r="E17" s="327" t="s">
        <v>173</v>
      </c>
      <c r="F17" s="325" t="s">
        <v>1091</v>
      </c>
      <c r="G17" s="326" t="s">
        <v>1092</v>
      </c>
    </row>
    <row r="18" spans="1:8" ht="15.75" thickTop="1" x14ac:dyDescent="0.25">
      <c r="A18" s="328" t="s">
        <v>1087</v>
      </c>
      <c r="B18" s="330" t="s">
        <v>1134</v>
      </c>
      <c r="C18" s="8">
        <v>1423</v>
      </c>
      <c r="D18" s="329" t="s">
        <v>185</v>
      </c>
      <c r="E18" s="330" t="s">
        <v>1135</v>
      </c>
      <c r="F18" s="8">
        <v>247</v>
      </c>
      <c r="G18" s="329" t="s">
        <v>188</v>
      </c>
      <c r="H18" s="5"/>
    </row>
    <row r="19" spans="1:8" x14ac:dyDescent="0.25">
      <c r="A19" s="328" t="s">
        <v>1136</v>
      </c>
      <c r="B19" s="330" t="s">
        <v>1137</v>
      </c>
      <c r="C19" s="8">
        <v>161</v>
      </c>
      <c r="D19" s="329" t="s">
        <v>185</v>
      </c>
      <c r="E19" s="330" t="s">
        <v>1138</v>
      </c>
      <c r="F19" s="8">
        <v>46</v>
      </c>
      <c r="G19" s="329" t="s">
        <v>188</v>
      </c>
      <c r="H19" s="5"/>
    </row>
    <row r="20" spans="1:8" x14ac:dyDescent="0.25">
      <c r="A20" s="328" t="s">
        <v>19</v>
      </c>
      <c r="B20" s="330" t="s">
        <v>1139</v>
      </c>
      <c r="C20" s="8">
        <v>1</v>
      </c>
      <c r="D20" s="329" t="s">
        <v>185</v>
      </c>
      <c r="E20" s="330" t="s">
        <v>1140</v>
      </c>
      <c r="F20" s="8">
        <v>0</v>
      </c>
      <c r="G20" s="329" t="s">
        <v>188</v>
      </c>
      <c r="H20" s="5"/>
    </row>
    <row r="21" spans="1:8" x14ac:dyDescent="0.25">
      <c r="A21" s="328" t="s">
        <v>38</v>
      </c>
      <c r="B21" s="330" t="s">
        <v>1141</v>
      </c>
      <c r="C21" s="8">
        <v>2181</v>
      </c>
      <c r="D21" s="329" t="s">
        <v>185</v>
      </c>
      <c r="E21" s="330" t="s">
        <v>1142</v>
      </c>
      <c r="F21" s="8">
        <v>432</v>
      </c>
      <c r="G21" s="329" t="s">
        <v>188</v>
      </c>
      <c r="H21" s="5"/>
    </row>
    <row r="22" spans="1:8" x14ac:dyDescent="0.25">
      <c r="A22" s="328" t="s">
        <v>11</v>
      </c>
      <c r="B22" s="330" t="s">
        <v>1143</v>
      </c>
      <c r="C22" s="8">
        <v>28452</v>
      </c>
      <c r="D22" s="329" t="s">
        <v>185</v>
      </c>
      <c r="E22" s="330" t="s">
        <v>1144</v>
      </c>
      <c r="F22" s="8">
        <v>27723</v>
      </c>
      <c r="G22" s="329" t="s">
        <v>256</v>
      </c>
      <c r="H22" s="5"/>
    </row>
    <row r="23" spans="1:8" x14ac:dyDescent="0.25">
      <c r="A23" s="328" t="s">
        <v>26</v>
      </c>
      <c r="B23" s="330" t="s">
        <v>1145</v>
      </c>
      <c r="C23" s="8">
        <v>1626</v>
      </c>
      <c r="D23" s="329" t="s">
        <v>185</v>
      </c>
      <c r="E23" s="330" t="s">
        <v>1146</v>
      </c>
      <c r="F23" s="8">
        <v>423</v>
      </c>
      <c r="G23" s="329" t="s">
        <v>188</v>
      </c>
      <c r="H23" s="5"/>
    </row>
    <row r="24" spans="1:8" x14ac:dyDescent="0.25">
      <c r="A24" s="320" t="s">
        <v>318</v>
      </c>
      <c r="B24" s="347" t="s">
        <v>1147</v>
      </c>
      <c r="C24" s="333">
        <v>997</v>
      </c>
      <c r="D24" s="334" t="s">
        <v>185</v>
      </c>
      <c r="E24" s="335" t="s">
        <v>543</v>
      </c>
      <c r="F24" s="336" t="s">
        <v>543</v>
      </c>
      <c r="G24" s="337" t="s">
        <v>543</v>
      </c>
      <c r="H24" s="5"/>
    </row>
    <row r="26" spans="1:8" x14ac:dyDescent="0.25">
      <c r="A26" s="217" t="s">
        <v>1102</v>
      </c>
    </row>
    <row r="27" spans="1:8" x14ac:dyDescent="0.25">
      <c r="A27" s="217" t="s">
        <v>1103</v>
      </c>
    </row>
    <row r="28" spans="1:8" x14ac:dyDescent="0.25">
      <c r="A28" s="217" t="s">
        <v>1104</v>
      </c>
    </row>
    <row r="29" spans="1:8" x14ac:dyDescent="0.25">
      <c r="A29" s="338" t="s">
        <v>1105</v>
      </c>
    </row>
    <row r="30" spans="1:8" x14ac:dyDescent="0.25">
      <c r="A30" s="218" t="s">
        <v>1106</v>
      </c>
    </row>
    <row r="33" spans="1:8" ht="15.75" x14ac:dyDescent="0.25">
      <c r="A33" s="282" t="s">
        <v>1148</v>
      </c>
    </row>
    <row r="35" spans="1:8" ht="51.75" thickBot="1" x14ac:dyDescent="0.4">
      <c r="A35" s="318" t="s">
        <v>35</v>
      </c>
      <c r="B35" s="319" t="s">
        <v>1082</v>
      </c>
      <c r="C35" s="319" t="s">
        <v>1083</v>
      </c>
      <c r="D35" s="319" t="s">
        <v>1084</v>
      </c>
      <c r="E35" s="319" t="s">
        <v>1085</v>
      </c>
      <c r="F35" s="319" t="s">
        <v>1086</v>
      </c>
    </row>
    <row r="36" spans="1:8" ht="15.75" thickTop="1" x14ac:dyDescent="0.25">
      <c r="A36" s="320" t="s">
        <v>1087</v>
      </c>
      <c r="B36" s="321">
        <f>($C18*1000)*E104/1000</f>
        <v>105501.22</v>
      </c>
      <c r="C36" s="321">
        <f>($C18*1000)*F104/1000000</f>
        <v>15.013446688548525</v>
      </c>
      <c r="D36" s="321">
        <f>($C18*1000)*G104/1000000</f>
        <v>0.90080680131291158</v>
      </c>
      <c r="E36" s="321">
        <f>SUM(B36*$C$128,C36*$C$129,D36*$C$130)</f>
        <v>106160.31030962728</v>
      </c>
      <c r="F36" s="321">
        <v>0</v>
      </c>
    </row>
    <row r="37" spans="1:8" x14ac:dyDescent="0.25">
      <c r="A37" s="320" t="s">
        <v>1136</v>
      </c>
      <c r="B37" s="321">
        <v>0</v>
      </c>
      <c r="C37" s="321">
        <f>($C19*1000)*C117/1000000</f>
        <v>0.17710000000000001</v>
      </c>
      <c r="D37" s="321">
        <f>($C19*1000)*D117/1000000</f>
        <v>1.771E-2</v>
      </c>
      <c r="E37" s="321">
        <f t="shared" ref="E37:E42" si="2">SUM(B37*$C$128,C37*$C$129,D37*$C$130)</f>
        <v>9.6519499999999994</v>
      </c>
      <c r="F37" s="321">
        <f>($C19*1000)*B117/1000</f>
        <v>11018.84</v>
      </c>
    </row>
    <row r="38" spans="1:8" x14ac:dyDescent="0.25">
      <c r="A38" s="2" t="s">
        <v>19</v>
      </c>
      <c r="B38" s="322">
        <f>($C20*1000)*E105/1000</f>
        <v>73.186666666666667</v>
      </c>
      <c r="C38" s="322">
        <f>($C20*1000)*F105/1000000</f>
        <v>1.0550559865459259E-2</v>
      </c>
      <c r="D38" s="322">
        <f>($C20*1000)*G105/1000000</f>
        <v>6.3303359192755555E-4</v>
      </c>
      <c r="E38" s="321">
        <f t="shared" si="2"/>
        <v>73.649836244760337</v>
      </c>
      <c r="F38" s="322">
        <v>0</v>
      </c>
    </row>
    <row r="39" spans="1:8" x14ac:dyDescent="0.25">
      <c r="A39" s="2" t="s">
        <v>38</v>
      </c>
      <c r="B39" s="322">
        <f>($C21*1000)*E107/1000</f>
        <v>154102.19</v>
      </c>
      <c r="C39" s="322">
        <f>($C21*1000)*F107/1000000</f>
        <v>23.010771066566647</v>
      </c>
      <c r="D39" s="322">
        <f>($C21*1000)*G107/1000000</f>
        <v>1.3806462639939987</v>
      </c>
      <c r="E39" s="321">
        <f t="shared" si="2"/>
        <v>155112.36284982227</v>
      </c>
      <c r="F39" s="322">
        <v>0</v>
      </c>
    </row>
    <row r="40" spans="1:8" x14ac:dyDescent="0.25">
      <c r="A40" s="2" t="s">
        <v>11</v>
      </c>
      <c r="B40" s="322">
        <f>($C22*1000)*E103/1000</f>
        <v>1505395.32</v>
      </c>
      <c r="C40" s="322">
        <f>($C22*1000)*F103/1000000</f>
        <v>150.09226464602341</v>
      </c>
      <c r="D40" s="322">
        <f>($C22*1000)*G103/1000000</f>
        <v>3.0018452929204686</v>
      </c>
      <c r="E40" s="321">
        <f t="shared" si="2"/>
        <v>1510393.3924127126</v>
      </c>
      <c r="F40" s="322">
        <v>0</v>
      </c>
      <c r="H40" s="71"/>
    </row>
    <row r="41" spans="1:8" x14ac:dyDescent="0.25">
      <c r="A41" s="2" t="s">
        <v>26</v>
      </c>
      <c r="B41" s="322">
        <f>($C23*1000)*E106/1000</f>
        <v>102248.29999999999</v>
      </c>
      <c r="C41" s="322">
        <f>($C23*1000)*F106/1000000</f>
        <v>17.155210341236756</v>
      </c>
      <c r="D41" s="322">
        <f>($C23*1000)*G106/1000000</f>
        <v>1.0293126204742054</v>
      </c>
      <c r="E41" s="321">
        <f t="shared" si="2"/>
        <v>103001.41373398028</v>
      </c>
      <c r="F41" s="322">
        <v>0</v>
      </c>
      <c r="H41" s="71"/>
    </row>
    <row r="42" spans="1:8" ht="15.75" thickBot="1" x14ac:dyDescent="0.3">
      <c r="A42" s="318" t="s">
        <v>29</v>
      </c>
      <c r="B42" s="323">
        <v>0</v>
      </c>
      <c r="C42" s="323">
        <f>($C24*1000)*F108/1000000</f>
        <v>315.56724557588649</v>
      </c>
      <c r="D42" s="323">
        <f>($C24*1000)*G108/1000000</f>
        <v>4.2075632743451532</v>
      </c>
      <c r="E42" s="323">
        <f t="shared" si="2"/>
        <v>9950.8871438262886</v>
      </c>
      <c r="F42" s="323">
        <f>($C24*1000)*B116/1000</f>
        <v>93518.6</v>
      </c>
    </row>
    <row r="43" spans="1:8" ht="15.75" thickTop="1" x14ac:dyDescent="0.25">
      <c r="A43" s="320" t="s">
        <v>535</v>
      </c>
      <c r="B43" s="321">
        <f>SUM(B36:B42)</f>
        <v>1867320.2166666668</v>
      </c>
      <c r="C43" s="321">
        <f t="shared" ref="C43" si="3">SUM(C36:C42)</f>
        <v>521.02658887812731</v>
      </c>
      <c r="D43" s="321">
        <f>SUM(D36:D42)</f>
        <v>10.538517286638665</v>
      </c>
      <c r="E43" s="321">
        <f>SUM(E36:E42)</f>
        <v>1884701.6682362137</v>
      </c>
      <c r="F43" s="321">
        <f>SUM(F36:F42)</f>
        <v>104537.44</v>
      </c>
    </row>
    <row r="46" spans="1:8" ht="15.75" x14ac:dyDescent="0.25">
      <c r="A46" s="282" t="s">
        <v>1149</v>
      </c>
    </row>
    <row r="47" spans="1:8" x14ac:dyDescent="0.25">
      <c r="A47" s="59" t="s">
        <v>1150</v>
      </c>
    </row>
    <row r="48" spans="1:8" x14ac:dyDescent="0.25">
      <c r="A48" s="59" t="s">
        <v>1151</v>
      </c>
    </row>
    <row r="49" spans="1:7" x14ac:dyDescent="0.25">
      <c r="A49" s="59" t="s">
        <v>1152</v>
      </c>
    </row>
    <row r="50" spans="1:7" x14ac:dyDescent="0.25">
      <c r="A50" s="59" t="s">
        <v>1153</v>
      </c>
    </row>
    <row r="51" spans="1:7" x14ac:dyDescent="0.25">
      <c r="A51" s="59" t="s">
        <v>1154</v>
      </c>
    </row>
    <row r="52" spans="1:7" ht="36.75" thickBot="1" x14ac:dyDescent="0.4">
      <c r="A52" s="318" t="s">
        <v>35</v>
      </c>
      <c r="B52" s="319" t="s">
        <v>1082</v>
      </c>
      <c r="C52" s="319" t="s">
        <v>1083</v>
      </c>
      <c r="D52" s="319" t="s">
        <v>1086</v>
      </c>
    </row>
    <row r="53" spans="1:7" ht="15.75" thickTop="1" x14ac:dyDescent="0.25">
      <c r="A53" s="320" t="s">
        <v>38</v>
      </c>
      <c r="B53" s="348">
        <f>SUMIF(G58:G68,"Y",D58:D68)</f>
        <v>130699.49650381003</v>
      </c>
      <c r="C53" s="348">
        <f>SUMIF(G58:G68,"Y",E58:E68)</f>
        <v>106.92217642875826</v>
      </c>
      <c r="D53" s="348">
        <v>0</v>
      </c>
    </row>
    <row r="54" spans="1:7" x14ac:dyDescent="0.25">
      <c r="A54" s="2" t="s">
        <v>1136</v>
      </c>
      <c r="B54" s="349">
        <v>0</v>
      </c>
      <c r="C54" s="348">
        <f>C37*(C53/C39)</f>
        <v>0.82291538126881425</v>
      </c>
      <c r="D54" s="348">
        <f>F37*(B53/B39)</f>
        <v>9345.4664080766288</v>
      </c>
    </row>
    <row r="57" spans="1:7" ht="48.75" thickBot="1" x14ac:dyDescent="0.4">
      <c r="A57" s="318" t="s">
        <v>35</v>
      </c>
      <c r="B57" s="318" t="s">
        <v>1155</v>
      </c>
      <c r="C57" s="318" t="s">
        <v>1156</v>
      </c>
      <c r="D57" s="319" t="s">
        <v>1082</v>
      </c>
      <c r="E57" s="319" t="s">
        <v>1083</v>
      </c>
      <c r="F57" s="319" t="s">
        <v>1085</v>
      </c>
      <c r="G57" s="319" t="s">
        <v>1157</v>
      </c>
    </row>
    <row r="58" spans="1:7" ht="15.75" thickTop="1" x14ac:dyDescent="0.25">
      <c r="A58" s="320" t="s">
        <v>1158</v>
      </c>
      <c r="B58" s="320">
        <v>1</v>
      </c>
      <c r="C58" s="320" t="s">
        <v>534</v>
      </c>
      <c r="D58" s="350">
        <v>24401.051824698301</v>
      </c>
      <c r="E58" s="350">
        <v>28.359489707259499</v>
      </c>
      <c r="F58" s="350">
        <v>25195.117536501566</v>
      </c>
      <c r="G58" s="351" t="s">
        <v>1159</v>
      </c>
    </row>
    <row r="59" spans="1:7" x14ac:dyDescent="0.25">
      <c r="A59" s="2" t="s">
        <v>1158</v>
      </c>
      <c r="B59" s="2">
        <v>2</v>
      </c>
      <c r="C59" s="2" t="s">
        <v>527</v>
      </c>
      <c r="D59" s="12">
        <v>20815.955498696603</v>
      </c>
      <c r="E59" s="12">
        <v>15.825874966109799</v>
      </c>
      <c r="F59" s="12">
        <v>21259.079997747678</v>
      </c>
      <c r="G59" s="352" t="s">
        <v>1159</v>
      </c>
    </row>
    <row r="60" spans="1:7" x14ac:dyDescent="0.25">
      <c r="A60" s="2" t="s">
        <v>1158</v>
      </c>
      <c r="B60" s="2">
        <v>3</v>
      </c>
      <c r="C60" s="2" t="s">
        <v>528</v>
      </c>
      <c r="D60" s="12">
        <v>5266.01889218423</v>
      </c>
      <c r="E60" s="12">
        <v>1.4883604840340501</v>
      </c>
      <c r="F60" s="12">
        <v>5307.6929857371833</v>
      </c>
      <c r="G60" s="352" t="s">
        <v>1159</v>
      </c>
    </row>
    <row r="61" spans="1:7" x14ac:dyDescent="0.25">
      <c r="A61" s="2" t="s">
        <v>1158</v>
      </c>
      <c r="B61" s="2">
        <v>4</v>
      </c>
      <c r="C61" s="2" t="s">
        <v>529</v>
      </c>
      <c r="D61" s="12">
        <v>130228.40962496899</v>
      </c>
      <c r="E61" s="12">
        <v>106.60853886881199</v>
      </c>
      <c r="F61" s="12">
        <v>133213.44871329571</v>
      </c>
      <c r="G61" s="352" t="s">
        <v>1160</v>
      </c>
    </row>
    <row r="62" spans="1:7" x14ac:dyDescent="0.25">
      <c r="A62" s="2" t="s">
        <v>1158</v>
      </c>
      <c r="B62" s="2">
        <v>5</v>
      </c>
      <c r="C62" s="2" t="s">
        <v>525</v>
      </c>
      <c r="D62" s="12">
        <v>1754.4282139616398</v>
      </c>
      <c r="E62" s="12">
        <v>1.8625703510551699</v>
      </c>
      <c r="F62" s="12">
        <v>1806.5801837911845</v>
      </c>
      <c r="G62" s="352" t="s">
        <v>1159</v>
      </c>
    </row>
    <row r="63" spans="1:7" x14ac:dyDescent="0.25">
      <c r="A63" s="2" t="s">
        <v>1158</v>
      </c>
      <c r="B63" s="2">
        <v>6</v>
      </c>
      <c r="C63" s="2" t="s">
        <v>66</v>
      </c>
      <c r="D63" s="12">
        <v>43350.361994057799</v>
      </c>
      <c r="E63" s="12">
        <v>29.399867144814099</v>
      </c>
      <c r="F63" s="12">
        <v>44173.558274112591</v>
      </c>
      <c r="G63" s="352" t="s">
        <v>1159</v>
      </c>
    </row>
    <row r="64" spans="1:7" x14ac:dyDescent="0.25">
      <c r="A64" s="2" t="s">
        <v>1158</v>
      </c>
      <c r="B64" s="2">
        <v>7</v>
      </c>
      <c r="C64" s="2" t="s">
        <v>530</v>
      </c>
      <c r="D64" s="12">
        <v>14.993747668833398</v>
      </c>
      <c r="E64" s="12">
        <v>1.7194733602109803E-2</v>
      </c>
      <c r="F64" s="12">
        <v>15.475200209692472</v>
      </c>
      <c r="G64" s="352" t="s">
        <v>1160</v>
      </c>
    </row>
    <row r="65" spans="1:7" x14ac:dyDescent="0.25">
      <c r="A65" s="2" t="s">
        <v>1158</v>
      </c>
      <c r="B65" s="2">
        <v>8</v>
      </c>
      <c r="C65" s="2" t="s">
        <v>526</v>
      </c>
      <c r="D65" s="12">
        <v>81.384734860187393</v>
      </c>
      <c r="E65" s="12">
        <v>2.3909711494092999E-2</v>
      </c>
      <c r="F65" s="12">
        <v>82.054206782021993</v>
      </c>
      <c r="G65" s="352" t="s">
        <v>1159</v>
      </c>
    </row>
    <row r="66" spans="1:7" x14ac:dyDescent="0.25">
      <c r="A66" s="2" t="s">
        <v>1158</v>
      </c>
      <c r="B66" s="2">
        <v>10</v>
      </c>
      <c r="C66" s="2" t="s">
        <v>531</v>
      </c>
      <c r="D66" s="12">
        <v>9755.9186057343686</v>
      </c>
      <c r="E66" s="12">
        <v>7.9138187179336503</v>
      </c>
      <c r="F66" s="12">
        <v>9977.5055298365114</v>
      </c>
      <c r="G66" s="352" t="s">
        <v>1159</v>
      </c>
    </row>
    <row r="67" spans="1:7" x14ac:dyDescent="0.25">
      <c r="A67" s="2" t="s">
        <v>1158</v>
      </c>
      <c r="B67" s="2">
        <v>11</v>
      </c>
      <c r="C67" s="2" t="s">
        <v>532</v>
      </c>
      <c r="D67" s="12">
        <v>37871.945634809505</v>
      </c>
      <c r="E67" s="12">
        <v>33.9653897595499</v>
      </c>
      <c r="F67" s="12">
        <v>38822.976548076898</v>
      </c>
      <c r="G67" s="352" t="s">
        <v>1159</v>
      </c>
    </row>
    <row r="68" spans="1:7" x14ac:dyDescent="0.25">
      <c r="A68" s="2" t="s">
        <v>1158</v>
      </c>
      <c r="B68" s="2">
        <v>12</v>
      </c>
      <c r="C68" s="2" t="s">
        <v>533</v>
      </c>
      <c r="D68" s="12">
        <v>456.09313117220597</v>
      </c>
      <c r="E68" s="12">
        <v>0.29644282634416197</v>
      </c>
      <c r="F68" s="12">
        <v>464.3935303098425</v>
      </c>
      <c r="G68" s="352" t="s">
        <v>1160</v>
      </c>
    </row>
    <row r="69" spans="1:7" x14ac:dyDescent="0.25">
      <c r="A69" s="217" t="s">
        <v>1161</v>
      </c>
    </row>
    <row r="70" spans="1:7" x14ac:dyDescent="0.25">
      <c r="A70" s="217" t="s">
        <v>165</v>
      </c>
    </row>
    <row r="71" spans="1:7" x14ac:dyDescent="0.25">
      <c r="A71" s="217" t="s">
        <v>1162</v>
      </c>
    </row>
    <row r="72" spans="1:7" x14ac:dyDescent="0.25">
      <c r="A72" s="217" t="s">
        <v>1163</v>
      </c>
    </row>
    <row r="73" spans="1:7" x14ac:dyDescent="0.25">
      <c r="A73" s="217" t="s">
        <v>1164</v>
      </c>
    </row>
    <row r="74" spans="1:7" x14ac:dyDescent="0.25">
      <c r="A74" s="217" t="s">
        <v>1165</v>
      </c>
    </row>
    <row r="75" spans="1:7" x14ac:dyDescent="0.25">
      <c r="A75" s="217" t="s">
        <v>1166</v>
      </c>
    </row>
    <row r="76" spans="1:7" x14ac:dyDescent="0.25">
      <c r="A76" s="217" t="s">
        <v>1167</v>
      </c>
    </row>
    <row r="77" spans="1:7" x14ac:dyDescent="0.25">
      <c r="A77" s="217" t="s">
        <v>1168</v>
      </c>
    </row>
    <row r="78" spans="1:7" x14ac:dyDescent="0.25">
      <c r="A78" s="217" t="s">
        <v>1169</v>
      </c>
    </row>
    <row r="79" spans="1:7" x14ac:dyDescent="0.25">
      <c r="A79" s="217" t="s">
        <v>1170</v>
      </c>
    </row>
    <row r="80" spans="1:7" x14ac:dyDescent="0.25">
      <c r="A80" s="217" t="s">
        <v>1171</v>
      </c>
    </row>
    <row r="83" spans="1:8" ht="15.75" x14ac:dyDescent="0.25">
      <c r="A83" s="282" t="s">
        <v>1172</v>
      </c>
    </row>
    <row r="84" spans="1:8" x14ac:dyDescent="0.25">
      <c r="A84" s="59" t="s">
        <v>1173</v>
      </c>
    </row>
    <row r="85" spans="1:8" x14ac:dyDescent="0.25">
      <c r="A85" s="59" t="s">
        <v>1174</v>
      </c>
    </row>
    <row r="86" spans="1:8" x14ac:dyDescent="0.25">
      <c r="A86" s="59" t="s">
        <v>1175</v>
      </c>
    </row>
    <row r="87" spans="1:8" x14ac:dyDescent="0.25">
      <c r="A87" s="59" t="s">
        <v>1176</v>
      </c>
    </row>
    <row r="88" spans="1:8" x14ac:dyDescent="0.25">
      <c r="A88" s="59" t="s">
        <v>1177</v>
      </c>
    </row>
    <row r="89" spans="1:8" ht="48.75" thickBot="1" x14ac:dyDescent="0.3">
      <c r="A89" s="353" t="s">
        <v>45</v>
      </c>
      <c r="B89" s="353" t="s">
        <v>46</v>
      </c>
      <c r="C89" s="319" t="s">
        <v>48</v>
      </c>
      <c r="D89" s="319" t="s">
        <v>51</v>
      </c>
      <c r="E89" s="319" t="s">
        <v>1178</v>
      </c>
      <c r="F89" s="319" t="s">
        <v>1179</v>
      </c>
      <c r="G89" s="319" t="s">
        <v>1180</v>
      </c>
      <c r="H89" s="319" t="s">
        <v>1181</v>
      </c>
    </row>
    <row r="90" spans="1:8" ht="15.75" thickTop="1" x14ac:dyDescent="0.25">
      <c r="A90" s="320" t="s">
        <v>800</v>
      </c>
      <c r="B90" s="320" t="s">
        <v>801</v>
      </c>
      <c r="C90" s="320" t="s">
        <v>802</v>
      </c>
      <c r="D90" s="320" t="s">
        <v>58</v>
      </c>
      <c r="E90" s="348">
        <v>75693</v>
      </c>
      <c r="F90" s="348">
        <v>22929.940999999999</v>
      </c>
      <c r="G90" s="348">
        <v>864.95500000000004</v>
      </c>
      <c r="H90" s="354">
        <v>86.313999999999993</v>
      </c>
    </row>
    <row r="91" spans="1:8" x14ac:dyDescent="0.25">
      <c r="A91" s="2" t="s">
        <v>964</v>
      </c>
      <c r="B91" s="2" t="s">
        <v>965</v>
      </c>
      <c r="C91" s="2" t="s">
        <v>966</v>
      </c>
      <c r="D91" s="2" t="s">
        <v>840</v>
      </c>
      <c r="E91" s="348">
        <v>1497</v>
      </c>
      <c r="F91" s="349"/>
      <c r="G91" s="348"/>
      <c r="H91" s="349"/>
    </row>
    <row r="92" spans="1:8" ht="15.75" thickBot="1" x14ac:dyDescent="0.3">
      <c r="A92" s="318" t="s">
        <v>803</v>
      </c>
      <c r="B92" s="318" t="s">
        <v>803</v>
      </c>
      <c r="C92" s="318" t="s">
        <v>802</v>
      </c>
      <c r="D92" s="318" t="s">
        <v>58</v>
      </c>
      <c r="E92" s="355">
        <v>29640</v>
      </c>
      <c r="F92" s="356">
        <v>10518.95</v>
      </c>
      <c r="G92" s="355">
        <v>396.79199999999997</v>
      </c>
      <c r="H92" s="356">
        <v>39.595999999999997</v>
      </c>
    </row>
    <row r="93" spans="1:8" ht="15.75" thickTop="1" x14ac:dyDescent="0.25">
      <c r="A93" s="431" t="s">
        <v>535</v>
      </c>
      <c r="B93" s="431"/>
      <c r="C93" s="431"/>
      <c r="D93" s="431"/>
      <c r="E93" s="348">
        <f>SUM(E90:E92)</f>
        <v>106830</v>
      </c>
      <c r="F93" s="348">
        <f t="shared" ref="F93:H93" si="4">SUM(F90:F92)</f>
        <v>33448.891000000003</v>
      </c>
      <c r="G93" s="348">
        <f t="shared" si="4"/>
        <v>1261.7470000000001</v>
      </c>
      <c r="H93" s="348">
        <f t="shared" si="4"/>
        <v>125.91</v>
      </c>
    </row>
    <row r="94" spans="1:8" x14ac:dyDescent="0.25">
      <c r="A94" s="217" t="s">
        <v>586</v>
      </c>
      <c r="E94" s="357"/>
      <c r="F94" s="357"/>
      <c r="G94" s="357"/>
      <c r="H94" s="357"/>
    </row>
    <row r="95" spans="1:8" x14ac:dyDescent="0.25">
      <c r="A95" s="293" t="s">
        <v>587</v>
      </c>
      <c r="E95" s="357"/>
    </row>
    <row r="96" spans="1:8" x14ac:dyDescent="0.25">
      <c r="A96" s="294" t="s">
        <v>588</v>
      </c>
      <c r="E96" s="357"/>
    </row>
    <row r="97" spans="1:8" x14ac:dyDescent="0.25">
      <c r="A97" s="293" t="s">
        <v>589</v>
      </c>
      <c r="E97" s="357"/>
      <c r="F97" s="357"/>
      <c r="G97" s="357"/>
      <c r="H97" s="357"/>
    </row>
    <row r="100" spans="1:8" ht="15.75" x14ac:dyDescent="0.25">
      <c r="A100" s="282" t="s">
        <v>1107</v>
      </c>
    </row>
    <row r="102" spans="1:8" ht="36.75" thickBot="1" x14ac:dyDescent="0.4">
      <c r="A102" s="318" t="s">
        <v>1</v>
      </c>
      <c r="B102" s="319" t="s">
        <v>1108</v>
      </c>
      <c r="C102" s="319" t="s">
        <v>1109</v>
      </c>
      <c r="D102" s="319" t="s">
        <v>1110</v>
      </c>
      <c r="E102" s="319" t="s">
        <v>1111</v>
      </c>
      <c r="F102" s="319" t="s">
        <v>1112</v>
      </c>
      <c r="G102" s="319" t="s">
        <v>1113</v>
      </c>
    </row>
    <row r="103" spans="1:8" ht="15.75" thickTop="1" x14ac:dyDescent="0.25">
      <c r="A103" s="339" t="s">
        <v>11</v>
      </c>
      <c r="B103" s="320">
        <v>14.43</v>
      </c>
      <c r="C103" s="320">
        <v>5</v>
      </c>
      <c r="D103" s="320">
        <v>0.1</v>
      </c>
      <c r="E103" s="340">
        <f>B103*44/12</f>
        <v>52.91</v>
      </c>
      <c r="F103" s="341">
        <f>C103/$B$142</f>
        <v>5.2752799327296298</v>
      </c>
      <c r="G103" s="341">
        <f>D103/$B$142</f>
        <v>0.10550559865459261</v>
      </c>
    </row>
    <row r="104" spans="1:8" x14ac:dyDescent="0.25">
      <c r="A104" s="342" t="s">
        <v>1114</v>
      </c>
      <c r="B104" s="2">
        <v>20.22</v>
      </c>
      <c r="C104" s="2">
        <v>10</v>
      </c>
      <c r="D104" s="2">
        <v>0.6</v>
      </c>
      <c r="E104" s="340">
        <f t="shared" ref="E104:E107" si="5">B104*44/12</f>
        <v>74.14</v>
      </c>
      <c r="F104" s="341">
        <f t="shared" ref="F104:G108" si="6">C104/$B$142</f>
        <v>10.55055986545926</v>
      </c>
      <c r="G104" s="341">
        <f t="shared" si="6"/>
        <v>0.63303359192755559</v>
      </c>
    </row>
    <row r="105" spans="1:8" x14ac:dyDescent="0.25">
      <c r="A105" s="342" t="s">
        <v>19</v>
      </c>
      <c r="B105" s="2">
        <v>19.96</v>
      </c>
      <c r="C105" s="2">
        <v>10</v>
      </c>
      <c r="D105" s="2">
        <v>0.6</v>
      </c>
      <c r="E105" s="340">
        <f t="shared" si="5"/>
        <v>73.186666666666667</v>
      </c>
      <c r="F105" s="341">
        <f t="shared" si="6"/>
        <v>10.55055986545926</v>
      </c>
      <c r="G105" s="341">
        <f t="shared" si="6"/>
        <v>0.63303359192755559</v>
      </c>
    </row>
    <row r="106" spans="1:8" x14ac:dyDescent="0.25">
      <c r="A106" s="342" t="s">
        <v>1115</v>
      </c>
      <c r="B106" s="2">
        <v>17.149999999999999</v>
      </c>
      <c r="C106" s="2">
        <v>10</v>
      </c>
      <c r="D106" s="2">
        <v>0.6</v>
      </c>
      <c r="E106" s="340">
        <f t="shared" si="5"/>
        <v>62.883333333333326</v>
      </c>
      <c r="F106" s="341">
        <f t="shared" si="6"/>
        <v>10.55055986545926</v>
      </c>
      <c r="G106" s="341">
        <f t="shared" si="6"/>
        <v>0.63303359192755559</v>
      </c>
    </row>
    <row r="107" spans="1:8" x14ac:dyDescent="0.25">
      <c r="A107" s="342" t="s">
        <v>38</v>
      </c>
      <c r="B107" s="2">
        <v>19.27</v>
      </c>
      <c r="C107" s="2">
        <v>10</v>
      </c>
      <c r="D107" s="2">
        <v>0.6</v>
      </c>
      <c r="E107" s="340">
        <f t="shared" si="5"/>
        <v>70.656666666666666</v>
      </c>
      <c r="F107" s="341">
        <f t="shared" si="6"/>
        <v>10.55055986545926</v>
      </c>
      <c r="G107" s="341">
        <f t="shared" si="6"/>
        <v>0.63303359192755559</v>
      </c>
    </row>
    <row r="108" spans="1:8" x14ac:dyDescent="0.25">
      <c r="A108" s="342" t="s">
        <v>29</v>
      </c>
      <c r="B108" s="343" t="s">
        <v>1116</v>
      </c>
      <c r="C108" s="2">
        <v>300</v>
      </c>
      <c r="D108" s="114">
        <v>4</v>
      </c>
      <c r="E108" s="344" t="s">
        <v>1116</v>
      </c>
      <c r="F108" s="341">
        <f t="shared" si="6"/>
        <v>316.51679596377784</v>
      </c>
      <c r="G108" s="341">
        <f t="shared" si="6"/>
        <v>4.2202239461837046</v>
      </c>
    </row>
    <row r="110" spans="1:8" x14ac:dyDescent="0.25">
      <c r="A110" s="345" t="s">
        <v>1117</v>
      </c>
    </row>
    <row r="111" spans="1:8" x14ac:dyDescent="0.25">
      <c r="A111" s="217" t="s">
        <v>1118</v>
      </c>
    </row>
    <row r="112" spans="1:8" x14ac:dyDescent="0.25">
      <c r="A112" s="217" t="s">
        <v>1119</v>
      </c>
    </row>
    <row r="113" spans="1:4" x14ac:dyDescent="0.25">
      <c r="A113" s="218" t="s">
        <v>1120</v>
      </c>
    </row>
    <row r="114" spans="1:4" x14ac:dyDescent="0.25">
      <c r="A114" s="218"/>
    </row>
    <row r="115" spans="1:4" ht="36.75" thickBot="1" x14ac:dyDescent="0.4">
      <c r="A115" s="318" t="s">
        <v>1</v>
      </c>
      <c r="B115" s="319" t="s">
        <v>1111</v>
      </c>
      <c r="C115" s="319" t="s">
        <v>1112</v>
      </c>
      <c r="D115" s="319" t="s">
        <v>1113</v>
      </c>
    </row>
    <row r="116" spans="1:4" ht="15.75" thickTop="1" x14ac:dyDescent="0.25">
      <c r="A116" s="320" t="s">
        <v>1121</v>
      </c>
      <c r="B116" s="340">
        <v>93.8</v>
      </c>
      <c r="C116" s="320">
        <v>7.2</v>
      </c>
      <c r="D116" s="320">
        <v>3.6</v>
      </c>
    </row>
    <row r="117" spans="1:4" x14ac:dyDescent="0.25">
      <c r="A117" s="2" t="s">
        <v>1182</v>
      </c>
      <c r="B117" s="2">
        <v>68.44</v>
      </c>
      <c r="C117" s="2">
        <v>1.1000000000000001</v>
      </c>
      <c r="D117" s="2">
        <v>0.11</v>
      </c>
    </row>
    <row r="119" spans="1:4" x14ac:dyDescent="0.25">
      <c r="A119" s="217" t="s">
        <v>1122</v>
      </c>
    </row>
    <row r="120" spans="1:4" x14ac:dyDescent="0.25">
      <c r="A120" s="217" t="s">
        <v>1123</v>
      </c>
    </row>
    <row r="121" spans="1:4" x14ac:dyDescent="0.25">
      <c r="A121" s="217" t="s">
        <v>1124</v>
      </c>
    </row>
    <row r="122" spans="1:4" x14ac:dyDescent="0.25">
      <c r="A122" s="218" t="s">
        <v>1125</v>
      </c>
    </row>
    <row r="125" spans="1:4" ht="15.75" x14ac:dyDescent="0.25">
      <c r="A125" s="282" t="s">
        <v>555</v>
      </c>
    </row>
    <row r="127" spans="1:4" ht="30.75" thickBot="1" x14ac:dyDescent="0.3">
      <c r="A127" s="319" t="s">
        <v>556</v>
      </c>
      <c r="B127" s="319" t="s">
        <v>557</v>
      </c>
      <c r="C127" s="319" t="s">
        <v>558</v>
      </c>
    </row>
    <row r="128" spans="1:4" ht="18.75" thickTop="1" x14ac:dyDescent="0.35">
      <c r="A128" s="320" t="s">
        <v>559</v>
      </c>
      <c r="B128" s="320" t="s">
        <v>560</v>
      </c>
      <c r="C128" s="320">
        <v>1</v>
      </c>
    </row>
    <row r="129" spans="1:3" ht="18" x14ac:dyDescent="0.35">
      <c r="A129" s="2" t="s">
        <v>410</v>
      </c>
      <c r="B129" s="2" t="s">
        <v>561</v>
      </c>
      <c r="C129" s="2">
        <v>28</v>
      </c>
    </row>
    <row r="130" spans="1:3" ht="18" x14ac:dyDescent="0.35">
      <c r="A130" s="2" t="s">
        <v>562</v>
      </c>
      <c r="B130" s="2" t="s">
        <v>563</v>
      </c>
      <c r="C130" s="2">
        <v>265</v>
      </c>
    </row>
    <row r="132" spans="1:3" x14ac:dyDescent="0.25">
      <c r="A132" s="217" t="s">
        <v>1122</v>
      </c>
    </row>
    <row r="133" spans="1:3" x14ac:dyDescent="0.25">
      <c r="A133" s="217" t="s">
        <v>1123</v>
      </c>
    </row>
    <row r="134" spans="1:3" x14ac:dyDescent="0.25">
      <c r="A134" s="217" t="s">
        <v>1126</v>
      </c>
    </row>
    <row r="135" spans="1:3" x14ac:dyDescent="0.25">
      <c r="A135" s="218" t="s">
        <v>1125</v>
      </c>
    </row>
    <row r="138" spans="1:3" ht="15.75" x14ac:dyDescent="0.25">
      <c r="A138" s="282" t="s">
        <v>1127</v>
      </c>
    </row>
    <row r="140" spans="1:3" x14ac:dyDescent="0.25">
      <c r="A140" t="s">
        <v>1183</v>
      </c>
      <c r="B140">
        <v>0.90718500000000002</v>
      </c>
      <c r="C140" t="s">
        <v>34</v>
      </c>
    </row>
    <row r="141" spans="1:3" x14ac:dyDescent="0.25">
      <c r="A141" t="s">
        <v>1184</v>
      </c>
      <c r="B141">
        <v>4.53592E-4</v>
      </c>
      <c r="C141" t="s">
        <v>34</v>
      </c>
    </row>
    <row r="142" spans="1:3" x14ac:dyDescent="0.25">
      <c r="A142" t="s">
        <v>1128</v>
      </c>
      <c r="B142">
        <v>0.94781700000000002</v>
      </c>
      <c r="C142" t="s">
        <v>1129</v>
      </c>
    </row>
  </sheetData>
  <mergeCells count="1">
    <mergeCell ref="A93:D93"/>
  </mergeCells>
  <hyperlinks>
    <hyperlink ref="A96" r:id="rId1" xr:uid="{DB828763-0608-4955-AA9C-FDD41C2EBE4A}"/>
    <hyperlink ref="A30" r:id="rId2" xr:uid="{0467C486-7503-49F1-B4EC-2E88D363CA79}"/>
    <hyperlink ref="A122" r:id="rId3" xr:uid="{032493CD-FEE6-49EA-A310-F89B20BEEBDF}"/>
    <hyperlink ref="A135" r:id="rId4" xr:uid="{85E7D99B-A6B1-44A0-9A78-B16471B45FB0}"/>
    <hyperlink ref="A113" r:id="rId5" xr:uid="{C72962F4-2339-4234-A2CA-9E7A49BDD508}"/>
  </hyperlinks>
  <pageMargins left="0.7" right="0.7" top="0.75" bottom="0.75" header="0.3" footer="0.3"/>
  <drawing r:id="rId6"/>
  <legacyDrawing r:id="rId7"/>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0F355-B24E-40A0-AAD3-A49C985AAC7D}">
  <sheetPr>
    <tabColor rgb="FF0A6081"/>
  </sheetPr>
  <dimension ref="A1:AX28"/>
  <sheetViews>
    <sheetView topLeftCell="W3" workbookViewId="0">
      <selection activeCell="A35" sqref="A35"/>
    </sheetView>
  </sheetViews>
  <sheetFormatPr defaultRowHeight="15" x14ac:dyDescent="0.25"/>
  <cols>
    <col min="1" max="1" width="35.5703125" customWidth="1"/>
    <col min="2" max="2" width="35.28515625" customWidth="1"/>
    <col min="3" max="3" width="35.140625" customWidth="1"/>
  </cols>
  <sheetData>
    <row r="1" spans="1:50" ht="18.75" x14ac:dyDescent="0.3">
      <c r="A1" s="278" t="s">
        <v>1185</v>
      </c>
    </row>
    <row r="3" spans="1:50" ht="21" x14ac:dyDescent="0.35">
      <c r="A3" s="219" t="s">
        <v>1192</v>
      </c>
      <c r="B3" s="358"/>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c r="AE3" s="220"/>
      <c r="AF3" s="220"/>
      <c r="AG3" s="220"/>
      <c r="AH3" s="220"/>
      <c r="AI3" s="220"/>
      <c r="AJ3" s="220"/>
      <c r="AK3" s="220"/>
      <c r="AL3" s="220"/>
      <c r="AM3" s="220"/>
      <c r="AN3" s="220"/>
      <c r="AO3" s="220"/>
      <c r="AP3" s="220"/>
      <c r="AQ3" s="220"/>
      <c r="AR3" s="220"/>
      <c r="AS3" s="220"/>
      <c r="AT3" s="220"/>
      <c r="AU3" s="220"/>
      <c r="AV3" s="220"/>
      <c r="AW3" s="220"/>
      <c r="AX3" s="220"/>
    </row>
    <row r="4" spans="1:50" x14ac:dyDescent="0.25">
      <c r="A4" t="s">
        <v>1193</v>
      </c>
      <c r="B4" s="141"/>
    </row>
    <row r="7" spans="1:50" x14ac:dyDescent="0.25">
      <c r="A7" s="1" t="s">
        <v>1194</v>
      </c>
      <c r="B7" s="1" t="s">
        <v>1195</v>
      </c>
      <c r="C7" s="1" t="s">
        <v>371</v>
      </c>
      <c r="D7" s="1" t="s">
        <v>1196</v>
      </c>
      <c r="E7" s="1" t="s">
        <v>1197</v>
      </c>
      <c r="F7" s="1" t="s">
        <v>1198</v>
      </c>
      <c r="G7" s="1" t="s">
        <v>1199</v>
      </c>
      <c r="H7" s="1" t="s">
        <v>1200</v>
      </c>
      <c r="I7" s="1" t="s">
        <v>1201</v>
      </c>
      <c r="J7" s="1" t="s">
        <v>1202</v>
      </c>
      <c r="K7" s="1" t="s">
        <v>1203</v>
      </c>
      <c r="L7" s="1" t="s">
        <v>1204</v>
      </c>
      <c r="M7" s="1" t="s">
        <v>1205</v>
      </c>
      <c r="N7" s="1" t="s">
        <v>372</v>
      </c>
      <c r="O7" s="1" t="s">
        <v>409</v>
      </c>
      <c r="P7" s="1" t="s">
        <v>342</v>
      </c>
      <c r="Q7" s="1" t="s">
        <v>1206</v>
      </c>
      <c r="R7" s="1" t="s">
        <v>1207</v>
      </c>
      <c r="S7" s="1" t="s">
        <v>1208</v>
      </c>
      <c r="T7" s="1" t="s">
        <v>1209</v>
      </c>
      <c r="U7" s="1" t="s">
        <v>1210</v>
      </c>
      <c r="V7" s="1" t="s">
        <v>1211</v>
      </c>
      <c r="W7" s="1" t="s">
        <v>1212</v>
      </c>
      <c r="X7" s="1" t="s">
        <v>1213</v>
      </c>
      <c r="Y7" s="1" t="s">
        <v>1214</v>
      </c>
      <c r="Z7" s="1" t="s">
        <v>1215</v>
      </c>
      <c r="AA7" s="1" t="s">
        <v>1216</v>
      </c>
      <c r="AB7" s="1" t="s">
        <v>1217</v>
      </c>
      <c r="AC7" s="1" t="s">
        <v>1218</v>
      </c>
      <c r="AD7" s="1" t="s">
        <v>1219</v>
      </c>
      <c r="AE7" s="1" t="s">
        <v>1220</v>
      </c>
      <c r="AF7" s="1" t="s">
        <v>1221</v>
      </c>
      <c r="AG7" s="1" t="s">
        <v>1222</v>
      </c>
      <c r="AH7" s="1" t="s">
        <v>1223</v>
      </c>
      <c r="AI7" s="1" t="s">
        <v>1224</v>
      </c>
      <c r="AJ7" s="1" t="s">
        <v>1225</v>
      </c>
      <c r="AK7" s="1" t="s">
        <v>1226</v>
      </c>
      <c r="AL7" s="1" t="s">
        <v>1227</v>
      </c>
      <c r="AM7" s="1" t="s">
        <v>1228</v>
      </c>
      <c r="AN7" s="1" t="s">
        <v>1229</v>
      </c>
      <c r="AO7" s="1" t="s">
        <v>1230</v>
      </c>
      <c r="AP7" s="1" t="s">
        <v>1231</v>
      </c>
      <c r="AQ7" s="1" t="s">
        <v>1232</v>
      </c>
      <c r="AR7" s="1" t="s">
        <v>1233</v>
      </c>
      <c r="AS7" s="1" t="s">
        <v>1234</v>
      </c>
      <c r="AT7" s="1" t="s">
        <v>1235</v>
      </c>
      <c r="AU7" s="1" t="s">
        <v>1236</v>
      </c>
      <c r="AV7" s="1" t="s">
        <v>1237</v>
      </c>
      <c r="AW7" s="1" t="s">
        <v>1238</v>
      </c>
      <c r="AX7" s="1" t="s">
        <v>1239</v>
      </c>
    </row>
    <row r="8" spans="1:50" x14ac:dyDescent="0.25">
      <c r="A8" t="s">
        <v>1185</v>
      </c>
      <c r="B8" t="s">
        <v>1240</v>
      </c>
      <c r="C8" t="s">
        <v>1186</v>
      </c>
      <c r="L8" t="s">
        <v>10</v>
      </c>
      <c r="M8" t="s">
        <v>1191</v>
      </c>
      <c r="N8" t="s">
        <v>410</v>
      </c>
      <c r="O8">
        <v>28</v>
      </c>
      <c r="P8" t="s">
        <v>94</v>
      </c>
      <c r="Q8" s="16">
        <v>0</v>
      </c>
      <c r="R8" s="16">
        <v>0</v>
      </c>
      <c r="S8" s="16">
        <v>0</v>
      </c>
      <c r="T8" s="16">
        <v>0</v>
      </c>
      <c r="U8" s="16">
        <v>0</v>
      </c>
      <c r="V8" s="16">
        <v>0</v>
      </c>
      <c r="W8" s="16">
        <v>0</v>
      </c>
      <c r="X8" s="16">
        <v>0</v>
      </c>
      <c r="Y8" s="16">
        <v>0</v>
      </c>
      <c r="Z8" s="16">
        <v>0</v>
      </c>
      <c r="AA8" s="16">
        <v>0</v>
      </c>
      <c r="AB8" s="16">
        <v>0</v>
      </c>
      <c r="AC8" s="16">
        <v>0</v>
      </c>
      <c r="AD8" s="16">
        <v>0</v>
      </c>
      <c r="AE8" s="16">
        <v>0</v>
      </c>
      <c r="AF8" s="16">
        <v>0</v>
      </c>
      <c r="AG8" s="16">
        <v>0</v>
      </c>
      <c r="AH8" s="16">
        <v>0</v>
      </c>
      <c r="AI8" s="16">
        <v>0</v>
      </c>
      <c r="AJ8" s="16">
        <v>0</v>
      </c>
      <c r="AK8" s="16">
        <v>0</v>
      </c>
      <c r="AL8" s="16">
        <v>0</v>
      </c>
      <c r="AM8" s="16">
        <v>0</v>
      </c>
      <c r="AN8" s="16">
        <v>0</v>
      </c>
      <c r="AO8" s="16">
        <v>0</v>
      </c>
      <c r="AP8" s="16">
        <v>0</v>
      </c>
      <c r="AQ8" s="16">
        <v>0</v>
      </c>
      <c r="AR8" s="16">
        <v>0</v>
      </c>
      <c r="AS8" s="16">
        <v>0</v>
      </c>
      <c r="AT8" s="16">
        <v>0</v>
      </c>
      <c r="AU8" s="16">
        <v>0</v>
      </c>
      <c r="AV8" s="16">
        <v>0</v>
      </c>
      <c r="AW8" s="16">
        <v>0</v>
      </c>
      <c r="AX8" s="16">
        <v>0</v>
      </c>
    </row>
    <row r="9" spans="1:50" x14ac:dyDescent="0.25">
      <c r="A9" t="s">
        <v>1185</v>
      </c>
      <c r="B9" t="s">
        <v>1241</v>
      </c>
      <c r="C9" t="s">
        <v>1242</v>
      </c>
      <c r="D9" t="s">
        <v>1243</v>
      </c>
      <c r="L9" t="s">
        <v>10</v>
      </c>
      <c r="M9" t="s">
        <v>1191</v>
      </c>
      <c r="N9" t="s">
        <v>410</v>
      </c>
      <c r="O9">
        <v>28</v>
      </c>
      <c r="P9" t="s">
        <v>94</v>
      </c>
      <c r="Q9" s="16">
        <v>4.1050742521268604E-3</v>
      </c>
      <c r="R9" s="16">
        <v>4.1183174232141094E-3</v>
      </c>
      <c r="S9" s="16">
        <v>4.1642719438734514E-3</v>
      </c>
      <c r="T9" s="16">
        <v>4.2090909629268836E-3</v>
      </c>
      <c r="U9" s="16">
        <v>4.2807056936623646E-3</v>
      </c>
      <c r="V9" s="16">
        <v>4.4015955765115376E-3</v>
      </c>
      <c r="W9" s="16">
        <v>4.5078545655574381E-3</v>
      </c>
      <c r="X9" s="16">
        <v>4.6112701558801419E-3</v>
      </c>
      <c r="Y9" s="16">
        <v>4.7095121592903282E-3</v>
      </c>
      <c r="Z9" s="16">
        <v>4.7889042054992158E-3</v>
      </c>
      <c r="AA9" s="16">
        <v>4.8851233062206477E-3</v>
      </c>
      <c r="AB9" s="16">
        <v>4.988890931525194E-3</v>
      </c>
      <c r="AC9" s="16">
        <v>5.0130846397806938E-3</v>
      </c>
      <c r="AD9" s="16">
        <v>5.0767011785652454E-3</v>
      </c>
      <c r="AE9" s="16">
        <v>5.0958420664195094E-3</v>
      </c>
      <c r="AF9" s="16">
        <v>5.1455684974490391E-3</v>
      </c>
      <c r="AG9" s="16">
        <v>5.1413746673831364E-3</v>
      </c>
      <c r="AH9" s="16">
        <v>5.1496177609107671E-3</v>
      </c>
      <c r="AI9" s="16">
        <v>5.1866780596555584E-3</v>
      </c>
      <c r="AJ9" s="16">
        <v>5.2320898883457352E-3</v>
      </c>
      <c r="AK9" s="16">
        <v>5.2725315863569851E-3</v>
      </c>
      <c r="AL9" s="16">
        <v>5.5166615280095874E-3</v>
      </c>
      <c r="AM9" s="16">
        <v>5.7355814524896282E-3</v>
      </c>
      <c r="AN9" s="16">
        <v>5.9379728142063496E-3</v>
      </c>
      <c r="AO9" s="16">
        <v>6.0992513093056982E-3</v>
      </c>
      <c r="AP9" s="16">
        <v>6.2328609334873679E-3</v>
      </c>
      <c r="AQ9" s="16">
        <v>6.3492419876873766E-3</v>
      </c>
      <c r="AR9" s="16">
        <v>6.4316546878463278E-3</v>
      </c>
      <c r="AS9" s="16">
        <v>6.4809323602748013E-3</v>
      </c>
      <c r="AT9" s="16">
        <v>6.5341487320532462E-3</v>
      </c>
      <c r="AU9" s="16">
        <v>6.5862914399052227E-3</v>
      </c>
      <c r="AV9" s="16">
        <v>6.6234927206451346E-3</v>
      </c>
      <c r="AW9" s="16">
        <v>6.6390997878008192E-3</v>
      </c>
      <c r="AX9" s="16">
        <v>6.643143807143404E-3</v>
      </c>
    </row>
    <row r="10" spans="1:50" x14ac:dyDescent="0.25">
      <c r="A10" t="s">
        <v>1185</v>
      </c>
      <c r="B10" t="s">
        <v>1241</v>
      </c>
      <c r="C10" t="s">
        <v>1242</v>
      </c>
      <c r="D10" t="s">
        <v>1244</v>
      </c>
      <c r="L10" t="s">
        <v>10</v>
      </c>
      <c r="M10" t="s">
        <v>1191</v>
      </c>
      <c r="N10" t="s">
        <v>410</v>
      </c>
      <c r="O10">
        <v>28</v>
      </c>
      <c r="P10" t="s">
        <v>94</v>
      </c>
      <c r="Q10" s="16">
        <v>0.57436089435111271</v>
      </c>
      <c r="R10" s="16">
        <v>0.93045325200346651</v>
      </c>
      <c r="S10" s="16">
        <v>0.91109383522441223</v>
      </c>
      <c r="T10" s="16">
        <v>0.84427644813653568</v>
      </c>
      <c r="U10" s="16">
        <v>0.8588882268066208</v>
      </c>
      <c r="V10" s="16">
        <v>0.99123775045746965</v>
      </c>
      <c r="W10" s="16">
        <v>1.130220089209492</v>
      </c>
      <c r="X10" s="16">
        <v>1.0646679096634379</v>
      </c>
      <c r="Y10" s="16">
        <v>1.0024205012480469</v>
      </c>
      <c r="Z10" s="16">
        <v>0.91302649190028151</v>
      </c>
      <c r="AA10" s="16">
        <v>1.107425409753084</v>
      </c>
      <c r="AB10" s="16">
        <v>1.0956187937660671</v>
      </c>
      <c r="AC10" s="16">
        <v>1.0665493239056141</v>
      </c>
      <c r="AD10" s="16">
        <v>1.070029475500595</v>
      </c>
      <c r="AE10" s="16">
        <v>1.0824814811824079</v>
      </c>
      <c r="AF10" s="16">
        <v>1.0792700090785221</v>
      </c>
      <c r="AG10" s="16">
        <v>1.1166905663216109</v>
      </c>
      <c r="AH10" s="16">
        <v>1.156571047775335</v>
      </c>
      <c r="AI10" s="16">
        <v>1.089824555231101</v>
      </c>
      <c r="AJ10" s="16">
        <v>1.0854259901893</v>
      </c>
      <c r="AK10" s="16">
        <v>0.54336136328039952</v>
      </c>
      <c r="AL10" s="16">
        <v>0.57911419878283987</v>
      </c>
      <c r="AM10" s="16">
        <v>0.56247883302016044</v>
      </c>
      <c r="AN10" s="16">
        <v>0.81663065959999992</v>
      </c>
      <c r="AO10" s="16">
        <v>0.85953964319999998</v>
      </c>
      <c r="AP10" s="16">
        <v>0.80262197960000081</v>
      </c>
      <c r="AQ10" s="16">
        <v>0.80879861719999835</v>
      </c>
      <c r="AR10" s="16">
        <v>0.96095008799999926</v>
      </c>
      <c r="AS10" s="16">
        <v>0.99445930079999889</v>
      </c>
      <c r="AT10" s="16">
        <v>0.95643633959999841</v>
      </c>
      <c r="AU10" s="16">
        <v>0.83451851279999978</v>
      </c>
      <c r="AV10" s="16">
        <v>0.81672086160000057</v>
      </c>
      <c r="AW10" s="16">
        <v>0.80057175523003687</v>
      </c>
      <c r="AX10" s="16">
        <v>0.80699367909014386</v>
      </c>
    </row>
    <row r="11" spans="1:50" x14ac:dyDescent="0.25">
      <c r="A11" t="s">
        <v>1185</v>
      </c>
      <c r="B11" t="s">
        <v>1240</v>
      </c>
      <c r="C11" t="s">
        <v>1187</v>
      </c>
      <c r="L11" t="s">
        <v>10</v>
      </c>
      <c r="M11" t="s">
        <v>1191</v>
      </c>
      <c r="N11" t="s">
        <v>410</v>
      </c>
      <c r="O11">
        <v>28</v>
      </c>
      <c r="P11" t="s">
        <v>94</v>
      </c>
      <c r="Q11" s="16">
        <v>1.028337023764863E-3</v>
      </c>
      <c r="R11" s="16">
        <v>1.175242312874128E-3</v>
      </c>
      <c r="S11" s="16">
        <v>1.3221476019833951E-3</v>
      </c>
      <c r="T11" s="16">
        <v>1.6894108247565601E-3</v>
      </c>
      <c r="U11" s="16">
        <v>2.0762614194109602E-3</v>
      </c>
      <c r="V11" s="16">
        <v>2.3504846257482569E-3</v>
      </c>
      <c r="W11" s="16">
        <v>2.6712278403034878E-3</v>
      </c>
      <c r="X11" s="16">
        <v>2.9552447325814019E-3</v>
      </c>
      <c r="Y11" s="16">
        <v>3.2204406089029339E-3</v>
      </c>
      <c r="Z11" s="16">
        <v>3.6072912035573349E-3</v>
      </c>
      <c r="AA11" s="16">
        <v>4.0308681204890518E-3</v>
      </c>
      <c r="AB11" s="16">
        <v>3.1737825620306299E-3</v>
      </c>
      <c r="AC11" s="16">
        <v>2.3185073616580811E-3</v>
      </c>
      <c r="AD11" s="16">
        <v>2.961140713094047E-3</v>
      </c>
      <c r="AE11" s="16">
        <v>3.518718413605704E-3</v>
      </c>
      <c r="AF11" s="16">
        <v>3.5131557581768351E-3</v>
      </c>
      <c r="AG11" s="16">
        <v>3.5329291602243548E-3</v>
      </c>
      <c r="AH11" s="16">
        <v>5.5240464952877339E-3</v>
      </c>
      <c r="AI11" s="16">
        <v>7.4888506863459306E-3</v>
      </c>
      <c r="AJ11" s="16">
        <v>8.2364397177876296E-3</v>
      </c>
      <c r="AK11" s="16">
        <v>9.1774727417295865E-3</v>
      </c>
      <c r="AL11" s="16">
        <v>3.8205838757641749E-3</v>
      </c>
      <c r="AM11" s="16">
        <v>5.621306757335744E-3</v>
      </c>
      <c r="AN11" s="16">
        <v>8.4561087227090007E-3</v>
      </c>
      <c r="AO11" s="16">
        <v>6.5436438764552999E-3</v>
      </c>
      <c r="AP11" s="16">
        <v>4.4836525515588527E-3</v>
      </c>
      <c r="AQ11" s="16">
        <v>2.4889375721865031E-3</v>
      </c>
      <c r="AR11" s="16">
        <v>3.457668344965463E-3</v>
      </c>
      <c r="AS11" s="16">
        <v>3.6694242407231729E-3</v>
      </c>
      <c r="AT11" s="16">
        <v>4.1696176955895101E-3</v>
      </c>
      <c r="AU11" s="16">
        <v>4.698207078864286E-3</v>
      </c>
      <c r="AV11" s="16">
        <v>4.7070609724920746E-3</v>
      </c>
      <c r="AW11" s="16">
        <v>4.7085802480654332E-3</v>
      </c>
      <c r="AX11" s="16">
        <v>4.7318752596744486E-3</v>
      </c>
    </row>
    <row r="12" spans="1:50" x14ac:dyDescent="0.25">
      <c r="A12" t="s">
        <v>1185</v>
      </c>
      <c r="B12" t="s">
        <v>1240</v>
      </c>
      <c r="C12" t="s">
        <v>1187</v>
      </c>
      <c r="L12" t="s">
        <v>10</v>
      </c>
      <c r="M12" t="s">
        <v>1191</v>
      </c>
      <c r="N12" t="s">
        <v>380</v>
      </c>
      <c r="O12">
        <v>265</v>
      </c>
      <c r="P12" t="s">
        <v>96</v>
      </c>
      <c r="Q12" s="16">
        <v>7.2993565526166581E-4</v>
      </c>
      <c r="R12" s="16">
        <v>8.342121774419037E-4</v>
      </c>
      <c r="S12" s="16">
        <v>9.384886996221417E-4</v>
      </c>
      <c r="T12" s="16">
        <v>1.1991800050727361E-3</v>
      </c>
      <c r="U12" s="16">
        <v>1.4737748468140301E-3</v>
      </c>
      <c r="V12" s="16">
        <v>1.668424354883807E-3</v>
      </c>
      <c r="W12" s="16">
        <v>1.896094761643994E-3</v>
      </c>
      <c r="X12" s="16">
        <v>2.0976960378591208E-3</v>
      </c>
      <c r="Y12" s="16">
        <v>2.2859377536409231E-3</v>
      </c>
      <c r="Z12" s="16">
        <v>2.5605325953822148E-3</v>
      </c>
      <c r="AA12" s="16">
        <v>2.8611965676685678E-3</v>
      </c>
      <c r="AB12" s="16">
        <v>2.2528188721556712E-3</v>
      </c>
      <c r="AC12" s="16">
        <v>1.6457262076055119E-3</v>
      </c>
      <c r="AD12" s="16">
        <v>2.101881131169435E-3</v>
      </c>
      <c r="AE12" s="16">
        <v>2.497661731086192E-3</v>
      </c>
      <c r="AF12" s="16">
        <v>2.4937132390630209E-3</v>
      </c>
      <c r="AG12" s="16">
        <v>2.5077488235521091E-3</v>
      </c>
      <c r="AH12" s="16">
        <v>3.9210865747801331E-3</v>
      </c>
      <c r="AI12" s="16">
        <v>5.3157466925401924E-3</v>
      </c>
      <c r="AJ12" s="16">
        <v>5.8464014068224683E-3</v>
      </c>
      <c r="AK12" s="16">
        <v>6.5143668122098408E-3</v>
      </c>
      <c r="AL12" s="16">
        <v>2.7119323046718921E-3</v>
      </c>
      <c r="AM12" s="16">
        <v>3.9901239929302822E-3</v>
      </c>
      <c r="AN12" s="16">
        <v>6.0023271737086213E-3</v>
      </c>
      <c r="AO12" s="16">
        <v>4.6448186444481817E-3</v>
      </c>
      <c r="AP12" s="16">
        <v>3.1825926593654348E-3</v>
      </c>
      <c r="AQ12" s="16">
        <v>1.7667012231145261E-3</v>
      </c>
      <c r="AR12" s="16">
        <v>2.4543270841495919E-3</v>
      </c>
      <c r="AS12" s="16">
        <v>2.6046359565847521E-3</v>
      </c>
      <c r="AT12" s="16">
        <v>2.959683989280054E-3</v>
      </c>
      <c r="AU12" s="16">
        <v>3.3348880604438459E-3</v>
      </c>
      <c r="AV12" s="16">
        <v>3.3411727438671431E-3</v>
      </c>
      <c r="AW12" s="16">
        <v>3.3422511582250178E-3</v>
      </c>
      <c r="AX12" s="16">
        <v>3.3587864566439161E-3</v>
      </c>
    </row>
    <row r="13" spans="1:50" x14ac:dyDescent="0.25">
      <c r="A13" t="s">
        <v>1185</v>
      </c>
      <c r="B13" t="s">
        <v>1190</v>
      </c>
      <c r="C13" t="s">
        <v>1245</v>
      </c>
      <c r="L13" t="s">
        <v>10</v>
      </c>
      <c r="M13" t="s">
        <v>1191</v>
      </c>
      <c r="N13" t="s">
        <v>410</v>
      </c>
      <c r="O13">
        <v>28</v>
      </c>
      <c r="P13" t="s">
        <v>94</v>
      </c>
      <c r="Q13" s="16">
        <v>0.10004177256116339</v>
      </c>
      <c r="R13" s="16">
        <v>0.1026052775708516</v>
      </c>
      <c r="S13" s="16">
        <v>0.10537980352969149</v>
      </c>
      <c r="T13" s="16">
        <v>0.10644096724218401</v>
      </c>
      <c r="U13" s="16">
        <v>0.1076408167650679</v>
      </c>
      <c r="V13" s="16">
        <v>0.10835905960629499</v>
      </c>
      <c r="W13" s="16">
        <v>0.10854385571701509</v>
      </c>
      <c r="X13" s="16">
        <v>0.10925847849984829</v>
      </c>
      <c r="Y13" s="16">
        <v>0.1097592333156014</v>
      </c>
      <c r="Z13" s="16">
        <v>0.1102043863652039</v>
      </c>
      <c r="AA13" s="16">
        <v>0.1104053522183263</v>
      </c>
      <c r="AB13" s="16">
        <v>0.10991676280541041</v>
      </c>
      <c r="AC13" s="16">
        <v>0.11007995126038959</v>
      </c>
      <c r="AD13" s="16">
        <v>0.1101099305570889</v>
      </c>
      <c r="AE13" s="16">
        <v>0.1098093066501129</v>
      </c>
      <c r="AF13" s="16">
        <v>0.11045863567172939</v>
      </c>
      <c r="AG13" s="16">
        <v>0.1105949363788228</v>
      </c>
      <c r="AH13" s="16">
        <v>0.1106104173151065</v>
      </c>
      <c r="AI13" s="16">
        <v>0.1108364924942332</v>
      </c>
      <c r="AJ13" s="16">
        <v>0.11120490455243549</v>
      </c>
      <c r="AK13" s="16">
        <v>0.1106529229506539</v>
      </c>
      <c r="AL13" s="16">
        <v>0.1114692322829747</v>
      </c>
      <c r="AM13" s="16">
        <v>0.1120316625351914</v>
      </c>
      <c r="AN13" s="16">
        <v>0.1104886733614094</v>
      </c>
      <c r="AO13" s="16">
        <v>0.11092119915277231</v>
      </c>
      <c r="AP13" s="16">
        <v>0.1122678902224795</v>
      </c>
      <c r="AQ13" s="16">
        <v>0.1101177025605411</v>
      </c>
      <c r="AR13" s="16">
        <v>0.10772403580507781</v>
      </c>
      <c r="AS13" s="16">
        <v>0.10572812118224011</v>
      </c>
      <c r="AT13" s="16">
        <v>0.1031348682974194</v>
      </c>
      <c r="AU13" s="16">
        <v>0.1016401645101277</v>
      </c>
      <c r="AV13" s="16">
        <v>9.9036363282091533E-2</v>
      </c>
      <c r="AW13" s="16">
        <v>0.10211122906507079</v>
      </c>
      <c r="AX13" s="16">
        <v>0.10552214169368029</v>
      </c>
    </row>
    <row r="14" spans="1:50" x14ac:dyDescent="0.25">
      <c r="A14" t="s">
        <v>1185</v>
      </c>
      <c r="B14" t="s">
        <v>1190</v>
      </c>
      <c r="C14" t="s">
        <v>1245</v>
      </c>
      <c r="L14" t="s">
        <v>10</v>
      </c>
      <c r="M14" t="s">
        <v>1191</v>
      </c>
      <c r="N14" t="s">
        <v>380</v>
      </c>
      <c r="O14">
        <v>265</v>
      </c>
      <c r="P14" t="s">
        <v>96</v>
      </c>
      <c r="Q14" s="16">
        <v>8.5282982411007693E-2</v>
      </c>
      <c r="R14" s="16">
        <v>8.7664968875907523E-2</v>
      </c>
      <c r="S14" s="16">
        <v>9.0735183951278303E-2</v>
      </c>
      <c r="T14" s="16">
        <v>9.2802124947270734E-2</v>
      </c>
      <c r="U14" s="16">
        <v>9.686584266091576E-2</v>
      </c>
      <c r="V14" s="16">
        <v>9.807530940151292E-2</v>
      </c>
      <c r="W14" s="16">
        <v>0.1002821022864987</v>
      </c>
      <c r="X14" s="16">
        <v>0.100321174471369</v>
      </c>
      <c r="Y14" s="16">
        <v>0.1022046050730312</v>
      </c>
      <c r="Z14" s="16">
        <v>0.10462929590470579</v>
      </c>
      <c r="AA14" s="16">
        <v>0.1051597267234689</v>
      </c>
      <c r="AB14" s="16">
        <v>0.103145455488638</v>
      </c>
      <c r="AC14" s="16">
        <v>0.1046838214864492</v>
      </c>
      <c r="AD14" s="16">
        <v>0.10605203288137841</v>
      </c>
      <c r="AE14" s="16">
        <v>0.1076891377101499</v>
      </c>
      <c r="AF14" s="16">
        <v>0.10760586961484619</v>
      </c>
      <c r="AG14" s="16">
        <v>0.1103793357083326</v>
      </c>
      <c r="AH14" s="16">
        <v>0.11113575087818291</v>
      </c>
      <c r="AI14" s="16">
        <v>0.109906415875897</v>
      </c>
      <c r="AJ14" s="16">
        <v>0.1098166913077651</v>
      </c>
      <c r="AK14" s="16">
        <v>0.1111225530492076</v>
      </c>
      <c r="AL14" s="16">
        <v>0.1125054518010358</v>
      </c>
      <c r="AM14" s="16">
        <v>0.1152482805716655</v>
      </c>
      <c r="AN14" s="16">
        <v>0.1151929161047294</v>
      </c>
      <c r="AO14" s="16">
        <v>0.11255588714075231</v>
      </c>
      <c r="AP14" s="16">
        <v>0.1115120445294721</v>
      </c>
      <c r="AQ14" s="16">
        <v>0.1135027648159134</v>
      </c>
      <c r="AR14" s="16">
        <v>0.11509495484382561</v>
      </c>
      <c r="AS14" s="16">
        <v>0.1172375281124626</v>
      </c>
      <c r="AT14" s="16">
        <v>0.1201934554130505</v>
      </c>
      <c r="AU14" s="16">
        <v>0.1242944421611708</v>
      </c>
      <c r="AV14" s="16">
        <v>0.12140024813371771</v>
      </c>
      <c r="AW14" s="16">
        <v>0.11831458507391659</v>
      </c>
      <c r="AX14" s="16">
        <v>0.1147781373414974</v>
      </c>
    </row>
    <row r="15" spans="1:50" x14ac:dyDescent="0.25">
      <c r="A15" t="s">
        <v>1185</v>
      </c>
      <c r="B15" t="s">
        <v>1190</v>
      </c>
      <c r="C15" t="s">
        <v>528</v>
      </c>
      <c r="L15" t="s">
        <v>10</v>
      </c>
      <c r="M15" t="s">
        <v>1191</v>
      </c>
      <c r="N15" t="s">
        <v>410</v>
      </c>
      <c r="O15">
        <v>28</v>
      </c>
      <c r="P15" t="s">
        <v>94</v>
      </c>
      <c r="Q15" s="16">
        <v>1.6287847056502922E-2</v>
      </c>
      <c r="R15" s="16">
        <v>1.5990371925266211E-2</v>
      </c>
      <c r="S15" s="16">
        <v>1.5908531319323769E-2</v>
      </c>
      <c r="T15" s="16">
        <v>1.5567706792110151E-2</v>
      </c>
      <c r="U15" s="16">
        <v>1.566930840300251E-2</v>
      </c>
      <c r="V15" s="16">
        <v>1.4215980929413299E-2</v>
      </c>
      <c r="W15" s="16">
        <v>1.323295172971339E-2</v>
      </c>
      <c r="X15" s="16">
        <v>1.3028375690045011E-2</v>
      </c>
      <c r="Y15" s="16">
        <v>1.236653166206384E-2</v>
      </c>
      <c r="Z15" s="16">
        <v>1.1635119181271371E-2</v>
      </c>
      <c r="AA15" s="16">
        <v>1.066961661159754E-2</v>
      </c>
      <c r="AB15" s="16">
        <v>9.483069808608224E-3</v>
      </c>
      <c r="AC15" s="16">
        <v>8.9889489628913691E-3</v>
      </c>
      <c r="AD15" s="16">
        <v>8.2842843006187931E-3</v>
      </c>
      <c r="AE15" s="16">
        <v>7.6228439759006856E-3</v>
      </c>
      <c r="AF15" s="16">
        <v>7.7034197872643427E-3</v>
      </c>
      <c r="AG15" s="16">
        <v>7.6688451934921959E-3</v>
      </c>
      <c r="AH15" s="16">
        <v>7.6020999458035832E-3</v>
      </c>
      <c r="AI15" s="16">
        <v>6.992088817944565E-3</v>
      </c>
      <c r="AJ15" s="16">
        <v>6.2747138453398158E-3</v>
      </c>
      <c r="AK15" s="16">
        <v>6.2144784591523141E-3</v>
      </c>
      <c r="AL15" s="16">
        <v>6.1714209537241478E-3</v>
      </c>
      <c r="AM15" s="16">
        <v>5.9684682680649177E-3</v>
      </c>
      <c r="AN15" s="16">
        <v>5.538244646624519E-3</v>
      </c>
      <c r="AO15" s="16">
        <v>5.3544509065412641E-3</v>
      </c>
      <c r="AP15" s="16">
        <v>4.9618683539415726E-3</v>
      </c>
      <c r="AQ15" s="16">
        <v>4.8077301463568577E-3</v>
      </c>
      <c r="AR15" s="16">
        <v>4.6851127247416764E-3</v>
      </c>
      <c r="AS15" s="16">
        <v>4.715493410240048E-3</v>
      </c>
      <c r="AT15" s="16">
        <v>4.5726967978052899E-3</v>
      </c>
      <c r="AU15" s="16">
        <v>4.2754152419421281E-3</v>
      </c>
      <c r="AV15" s="16">
        <v>4.5424929099199653E-3</v>
      </c>
      <c r="AW15" s="16">
        <v>4.7088563779961248E-3</v>
      </c>
      <c r="AX15" s="16">
        <v>5.1583997055509251E-3</v>
      </c>
    </row>
    <row r="16" spans="1:50" x14ac:dyDescent="0.25">
      <c r="A16" t="s">
        <v>1185</v>
      </c>
      <c r="B16" t="s">
        <v>1190</v>
      </c>
      <c r="C16" t="s">
        <v>528</v>
      </c>
      <c r="L16" t="s">
        <v>10</v>
      </c>
      <c r="M16" t="s">
        <v>1191</v>
      </c>
      <c r="N16" t="s">
        <v>380</v>
      </c>
      <c r="O16">
        <v>265</v>
      </c>
      <c r="P16" t="s">
        <v>96</v>
      </c>
      <c r="Q16" s="16">
        <v>1.1831963403574511E-3</v>
      </c>
      <c r="R16" s="16">
        <v>1.1813047039930379E-3</v>
      </c>
      <c r="S16" s="16">
        <v>1.3304189149938529E-3</v>
      </c>
      <c r="T16" s="16">
        <v>1.3794974055577501E-3</v>
      </c>
      <c r="U16" s="16">
        <v>1.3960674218981069E-3</v>
      </c>
      <c r="V16" s="16">
        <v>1.392602308801717E-3</v>
      </c>
      <c r="W16" s="16">
        <v>1.391033917440457E-3</v>
      </c>
      <c r="X16" s="16">
        <v>1.413888949335706E-3</v>
      </c>
      <c r="Y16" s="16">
        <v>1.3894445799139911E-3</v>
      </c>
      <c r="Z16" s="16">
        <v>1.3721342980504011E-3</v>
      </c>
      <c r="AA16" s="16">
        <v>1.3481591236324259E-3</v>
      </c>
      <c r="AB16" s="16">
        <v>1.302934524559441E-3</v>
      </c>
      <c r="AC16" s="16">
        <v>1.2689798692451469E-3</v>
      </c>
      <c r="AD16" s="16">
        <v>1.259382313088115E-3</v>
      </c>
      <c r="AE16" s="16">
        <v>1.2683622419626141E-3</v>
      </c>
      <c r="AF16" s="16">
        <v>1.356289559243184E-3</v>
      </c>
      <c r="AG16" s="16">
        <v>1.333568954217567E-3</v>
      </c>
      <c r="AH16" s="16">
        <v>1.3964276812139819E-3</v>
      </c>
      <c r="AI16" s="16">
        <v>1.3118763287797569E-3</v>
      </c>
      <c r="AJ16" s="16">
        <v>1.290776190627318E-3</v>
      </c>
      <c r="AK16" s="16">
        <v>1.364528623324944E-3</v>
      </c>
      <c r="AL16" s="16">
        <v>1.3542503116493799E-3</v>
      </c>
      <c r="AM16" s="16">
        <v>1.332855137083583E-3</v>
      </c>
      <c r="AN16" s="16">
        <v>1.2113847157362279E-3</v>
      </c>
      <c r="AO16" s="16">
        <v>1.2544798374232149E-3</v>
      </c>
      <c r="AP16" s="16">
        <v>1.239881969030462E-3</v>
      </c>
      <c r="AQ16" s="16">
        <v>1.2158174700966631E-3</v>
      </c>
      <c r="AR16" s="16">
        <v>1.1853726463843079E-3</v>
      </c>
      <c r="AS16" s="16">
        <v>1.287347159584685E-3</v>
      </c>
      <c r="AT16" s="16">
        <v>1.2465437249197669E-3</v>
      </c>
      <c r="AU16" s="16">
        <v>1.104330068580658E-3</v>
      </c>
      <c r="AV16" s="16">
        <v>1.03896347783715E-3</v>
      </c>
      <c r="AW16" s="16">
        <v>1.1057330940459731E-3</v>
      </c>
      <c r="AX16" s="16">
        <v>1.1597452422102081E-3</v>
      </c>
    </row>
    <row r="17" spans="1:50" x14ac:dyDescent="0.25">
      <c r="A17" s="1" t="s">
        <v>535</v>
      </c>
      <c r="Q17" s="149">
        <f t="shared" ref="Q17:AW17" si="0">SUM(Q8:Q16)</f>
        <v>0.78302003965129752</v>
      </c>
      <c r="R17" s="149">
        <f t="shared" si="0"/>
        <v>1.1440229469930152</v>
      </c>
      <c r="S17" s="149">
        <f t="shared" si="0"/>
        <v>1.1308726811851784</v>
      </c>
      <c r="T17" s="149">
        <f t="shared" si="0"/>
        <v>1.0675644263164143</v>
      </c>
      <c r="U17" s="149">
        <f t="shared" si="0"/>
        <v>1.0882910040173921</v>
      </c>
      <c r="V17" s="149">
        <f t="shared" si="0"/>
        <v>1.2217012072606364</v>
      </c>
      <c r="W17" s="149">
        <f t="shared" si="0"/>
        <v>1.3627452100276645</v>
      </c>
      <c r="X17" s="149">
        <f t="shared" si="0"/>
        <v>1.2983540382003567</v>
      </c>
      <c r="Y17" s="149">
        <f t="shared" si="0"/>
        <v>1.2383562064004916</v>
      </c>
      <c r="Z17" s="149">
        <f t="shared" si="0"/>
        <v>1.1518241556539517</v>
      </c>
      <c r="AA17" s="149">
        <f t="shared" si="0"/>
        <v>1.3467854524244876</v>
      </c>
      <c r="AB17" s="149">
        <f t="shared" si="0"/>
        <v>1.3298825087589945</v>
      </c>
      <c r="AC17" s="149">
        <f t="shared" si="0"/>
        <v>1.3005483436936336</v>
      </c>
      <c r="AD17" s="149">
        <f t="shared" si="0"/>
        <v>1.3058748285755981</v>
      </c>
      <c r="AE17" s="149">
        <f t="shared" si="0"/>
        <v>1.3199833539716455</v>
      </c>
      <c r="AF17" s="149">
        <f t="shared" si="0"/>
        <v>1.3175466612062943</v>
      </c>
      <c r="AG17" s="149">
        <f t="shared" si="0"/>
        <v>1.3578493052076357</v>
      </c>
      <c r="AH17" s="149">
        <f t="shared" si="0"/>
        <v>1.4019104944266205</v>
      </c>
      <c r="AI17" s="149">
        <f t="shared" si="0"/>
        <v>1.3368627041864971</v>
      </c>
      <c r="AJ17" s="149">
        <f t="shared" si="0"/>
        <v>1.3333280070984237</v>
      </c>
      <c r="AK17" s="149">
        <f t="shared" si="0"/>
        <v>0.79368021750303475</v>
      </c>
      <c r="AL17" s="149">
        <f t="shared" si="0"/>
        <v>0.82266373184066954</v>
      </c>
      <c r="AM17" s="149">
        <f t="shared" si="0"/>
        <v>0.81240711173492153</v>
      </c>
      <c r="AN17" s="149">
        <f t="shared" si="0"/>
        <v>1.0694582871391236</v>
      </c>
      <c r="AO17" s="149">
        <f t="shared" si="0"/>
        <v>1.1069133740676984</v>
      </c>
      <c r="AP17" s="149">
        <f t="shared" si="0"/>
        <v>1.0465027708193362</v>
      </c>
      <c r="AQ17" s="149">
        <f t="shared" si="0"/>
        <v>1.0490475129758949</v>
      </c>
      <c r="AR17" s="149">
        <f t="shared" si="0"/>
        <v>1.2019832141369899</v>
      </c>
      <c r="AS17" s="149">
        <f t="shared" si="0"/>
        <v>1.2361827832221091</v>
      </c>
      <c r="AT17" s="149">
        <f t="shared" si="0"/>
        <v>1.1992473542501163</v>
      </c>
      <c r="AU17" s="149">
        <f t="shared" si="0"/>
        <v>1.0804522513610344</v>
      </c>
      <c r="AV17" s="149">
        <f t="shared" si="0"/>
        <v>1.0574106558405714</v>
      </c>
      <c r="AW17" s="149">
        <f t="shared" si="0"/>
        <v>1.0415020900351579</v>
      </c>
      <c r="AX17" s="149">
        <f>SUM(AX8:AX16)</f>
        <v>1.0483459085965443</v>
      </c>
    </row>
    <row r="21" spans="1:50" x14ac:dyDescent="0.25">
      <c r="A21" t="s">
        <v>1458</v>
      </c>
    </row>
    <row r="22" spans="1:50" x14ac:dyDescent="0.25">
      <c r="A22" s="1" t="s">
        <v>341</v>
      </c>
      <c r="B22" s="1" t="s">
        <v>1474</v>
      </c>
    </row>
    <row r="23" spans="1:50" x14ac:dyDescent="0.25">
      <c r="A23" t="s">
        <v>1186</v>
      </c>
      <c r="B23" s="16">
        <f>AX8</f>
        <v>0</v>
      </c>
    </row>
    <row r="24" spans="1:50" x14ac:dyDescent="0.25">
      <c r="A24" t="s">
        <v>1187</v>
      </c>
      <c r="B24" s="16">
        <f>SUM(AX11:AX12)</f>
        <v>8.0906617163183647E-3</v>
      </c>
    </row>
    <row r="25" spans="1:50" x14ac:dyDescent="0.25">
      <c r="A25" t="s">
        <v>1188</v>
      </c>
      <c r="B25" s="16">
        <f>AX9</f>
        <v>6.643143807143404E-3</v>
      </c>
    </row>
    <row r="26" spans="1:50" x14ac:dyDescent="0.25">
      <c r="A26" t="s">
        <v>1189</v>
      </c>
      <c r="B26" s="16">
        <f>AX10</f>
        <v>0.80699367909014386</v>
      </c>
    </row>
    <row r="27" spans="1:50" x14ac:dyDescent="0.25">
      <c r="A27" t="s">
        <v>1190</v>
      </c>
      <c r="B27" s="16">
        <f>SUM(AX13:AX16)</f>
        <v>0.22661842398293883</v>
      </c>
    </row>
    <row r="28" spans="1:50" x14ac:dyDescent="0.25">
      <c r="A28" s="1" t="s">
        <v>535</v>
      </c>
      <c r="B28" s="149">
        <f>SUM(B23:B27)</f>
        <v>1.0483459085965445</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41990-7C0F-40BA-9DDA-96B5385DAF01}">
  <sheetPr>
    <tabColor theme="0" tint="-0.249977111117893"/>
  </sheetPr>
  <dimension ref="A1:BG204"/>
  <sheetViews>
    <sheetView topLeftCell="A83" zoomScaleNormal="100" workbookViewId="0">
      <selection activeCell="AK39" sqref="AK39"/>
    </sheetView>
  </sheetViews>
  <sheetFormatPr defaultColWidth="9.140625" defaultRowHeight="15" x14ac:dyDescent="0.25"/>
  <cols>
    <col min="1" max="1" width="9.140625" style="222"/>
    <col min="2" max="2" width="51.42578125" style="222" customWidth="1"/>
    <col min="3" max="3" width="9.140625" style="222" customWidth="1"/>
    <col min="4" max="4" width="9.140625" style="222"/>
    <col min="5" max="13" width="9.140625" style="222" customWidth="1"/>
    <col min="14" max="14" width="9.140625" style="222"/>
    <col min="15" max="23" width="9.140625" style="222" customWidth="1"/>
    <col min="24" max="24" width="9.140625" style="222"/>
    <col min="25" max="33" width="9.140625" style="222" customWidth="1"/>
    <col min="34" max="36" width="9.140625" style="222"/>
    <col min="37" max="37" width="12.42578125" style="222" customWidth="1"/>
    <col min="38" max="38" width="13.140625" style="222" customWidth="1"/>
    <col min="39" max="43" width="16.5703125" style="222" customWidth="1"/>
    <col min="44" max="16384" width="9.140625" style="222"/>
  </cols>
  <sheetData>
    <row r="1" spans="1:48" ht="18.75" x14ac:dyDescent="0.3">
      <c r="A1" s="278" t="s">
        <v>1247</v>
      </c>
    </row>
    <row r="3" spans="1:48" s="247" customFormat="1" ht="29.1" customHeight="1" thickBot="1" x14ac:dyDescent="0.3">
      <c r="B3" s="248"/>
      <c r="C3" s="249"/>
      <c r="D3" s="427" t="s">
        <v>1248</v>
      </c>
      <c r="E3" s="432"/>
      <c r="F3" s="432"/>
      <c r="G3" s="432"/>
      <c r="H3" s="432"/>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c r="AJ3" s="432"/>
      <c r="AK3" s="433"/>
      <c r="AL3" s="222"/>
      <c r="AM3" s="222"/>
      <c r="AN3" s="222"/>
      <c r="AO3" s="222"/>
      <c r="AP3" s="222"/>
      <c r="AQ3" s="222"/>
      <c r="AR3" s="222"/>
      <c r="AS3" s="222"/>
      <c r="AT3" s="222"/>
      <c r="AU3" s="222"/>
      <c r="AV3" s="222"/>
    </row>
    <row r="4" spans="1:48" ht="29.1" customHeight="1" thickBot="1" x14ac:dyDescent="0.3">
      <c r="B4" s="250" t="s">
        <v>341</v>
      </c>
      <c r="C4" s="250" t="s">
        <v>576</v>
      </c>
      <c r="D4" s="251">
        <v>1990</v>
      </c>
      <c r="E4" s="252">
        <v>1991</v>
      </c>
      <c r="F4" s="252">
        <v>1992</v>
      </c>
      <c r="G4" s="251">
        <v>1993</v>
      </c>
      <c r="H4" s="251">
        <v>1994</v>
      </c>
      <c r="I4" s="251">
        <v>1995</v>
      </c>
      <c r="J4" s="251">
        <v>1996</v>
      </c>
      <c r="K4" s="251">
        <v>1997</v>
      </c>
      <c r="L4" s="251">
        <v>1998</v>
      </c>
      <c r="M4" s="251">
        <v>1999</v>
      </c>
      <c r="N4" s="251">
        <v>2000</v>
      </c>
      <c r="O4" s="251">
        <v>2001</v>
      </c>
      <c r="P4" s="251">
        <v>2002</v>
      </c>
      <c r="Q4" s="251">
        <v>2003</v>
      </c>
      <c r="R4" s="251">
        <v>2004</v>
      </c>
      <c r="S4" s="251">
        <v>2005</v>
      </c>
      <c r="T4" s="251">
        <v>2006</v>
      </c>
      <c r="U4" s="251">
        <v>2007</v>
      </c>
      <c r="V4" s="251">
        <v>2008</v>
      </c>
      <c r="W4" s="251">
        <v>2009</v>
      </c>
      <c r="X4" s="251">
        <v>2010</v>
      </c>
      <c r="Y4" s="251">
        <v>2011</v>
      </c>
      <c r="Z4" s="251">
        <v>2012</v>
      </c>
      <c r="AA4" s="251">
        <v>2013</v>
      </c>
      <c r="AB4" s="251">
        <v>2014</v>
      </c>
      <c r="AC4" s="251">
        <v>2015</v>
      </c>
      <c r="AD4" s="251">
        <v>2016</v>
      </c>
      <c r="AE4" s="251">
        <v>2017</v>
      </c>
      <c r="AF4" s="251">
        <v>2018</v>
      </c>
      <c r="AG4" s="251">
        <v>2019</v>
      </c>
      <c r="AH4" s="251">
        <v>2020</v>
      </c>
      <c r="AI4" s="251">
        <v>2021</v>
      </c>
      <c r="AJ4" s="251">
        <v>2022</v>
      </c>
      <c r="AK4" s="251">
        <v>2023</v>
      </c>
    </row>
    <row r="5" spans="1:48" ht="15.75" x14ac:dyDescent="0.25">
      <c r="B5" s="226" t="s">
        <v>1073</v>
      </c>
      <c r="C5" s="227" t="s">
        <v>535</v>
      </c>
      <c r="D5" s="253">
        <v>0.54142359817012709</v>
      </c>
      <c r="E5" s="253">
        <v>-0.15493973353731705</v>
      </c>
      <c r="F5" s="253">
        <v>-9.2422443509975333E-2</v>
      </c>
      <c r="G5" s="253">
        <v>-9.905306468056374E-3</v>
      </c>
      <c r="H5" s="253">
        <v>4.912750195280749E-2</v>
      </c>
      <c r="I5" s="253">
        <v>0.10048303847204168</v>
      </c>
      <c r="J5" s="253">
        <v>-2.5691036553217861E-2</v>
      </c>
      <c r="K5" s="253">
        <v>-9.4169629841979796E-2</v>
      </c>
      <c r="L5" s="253">
        <v>0.62890502515924429</v>
      </c>
      <c r="M5" s="253">
        <v>0.69961204061537852</v>
      </c>
      <c r="N5" s="253">
        <v>-0.25659780425653517</v>
      </c>
      <c r="O5" s="253">
        <v>-0.16072454911213147</v>
      </c>
      <c r="P5" s="253">
        <v>-8.7772211538320544E-2</v>
      </c>
      <c r="Q5" s="253">
        <v>-1.2723164103878859E-2</v>
      </c>
      <c r="R5" s="253">
        <v>-5.8979846649767576E-2</v>
      </c>
      <c r="S5" s="253">
        <v>0.2236159281162195</v>
      </c>
      <c r="T5" s="253">
        <v>-0.2515412563322757</v>
      </c>
      <c r="U5" s="253">
        <v>-0.23381618301156815</v>
      </c>
      <c r="V5" s="253">
        <v>0.16904840840566782</v>
      </c>
      <c r="W5" s="253">
        <v>-3.069358192730523E-2</v>
      </c>
      <c r="X5" s="253">
        <v>7.4586201659479386E-3</v>
      </c>
      <c r="Y5" s="253">
        <v>-3.5584223953818717E-3</v>
      </c>
      <c r="Z5" s="253">
        <v>0.32858867310733886</v>
      </c>
      <c r="AA5" s="253">
        <v>0.10553006247544983</v>
      </c>
      <c r="AB5" s="253">
        <v>2.1213773589268375E-2</v>
      </c>
      <c r="AC5" s="253">
        <v>9.7855700517036917E-2</v>
      </c>
      <c r="AD5" s="253">
        <v>1.2003213542125024E-2</v>
      </c>
      <c r="AE5" s="253">
        <v>9.4168392929822792E-2</v>
      </c>
      <c r="AF5" s="253">
        <v>6.9875928104473101E-2</v>
      </c>
      <c r="AG5" s="253">
        <v>7.4500951107132812E-2</v>
      </c>
      <c r="AH5" s="253">
        <v>8.4383287843630334E-2</v>
      </c>
      <c r="AI5" s="253">
        <v>6.8530090765007573E-2</v>
      </c>
      <c r="AJ5" s="253">
        <v>6.8080131470368038E-2</v>
      </c>
      <c r="AK5" s="253">
        <v>7.1443725727418764E-2</v>
      </c>
      <c r="AM5" s="222" t="s">
        <v>1458</v>
      </c>
    </row>
    <row r="6" spans="1:48" x14ac:dyDescent="0.25">
      <c r="B6" s="254" t="s">
        <v>1249</v>
      </c>
      <c r="C6" s="254" t="s">
        <v>535</v>
      </c>
      <c r="D6" s="233">
        <v>-2.2553795534164006E-2</v>
      </c>
      <c r="E6" s="233">
        <v>-0.41071191610039137</v>
      </c>
      <c r="F6" s="233">
        <v>-0.33978819696584922</v>
      </c>
      <c r="G6" s="233">
        <v>-0.30533178191276467</v>
      </c>
      <c r="H6" s="233">
        <v>-0.24360528565617753</v>
      </c>
      <c r="I6" s="233">
        <v>-0.20003794824921131</v>
      </c>
      <c r="J6" s="233">
        <v>-0.28317714343620526</v>
      </c>
      <c r="K6" s="233">
        <v>-0.43000824969738805</v>
      </c>
      <c r="L6" s="233">
        <v>6.0740008402462409E-2</v>
      </c>
      <c r="M6" s="233">
        <v>7.2972660597122041E-3</v>
      </c>
      <c r="N6" s="233">
        <v>-0.42792363696102675</v>
      </c>
      <c r="O6" s="233">
        <v>-0.26519843610591687</v>
      </c>
      <c r="P6" s="233">
        <v>-0.21359292073991457</v>
      </c>
      <c r="Q6" s="233">
        <v>-0.18927299458505503</v>
      </c>
      <c r="R6" s="233">
        <v>-0.35294123240496506</v>
      </c>
      <c r="S6" s="233">
        <v>-3.3776560025350899E-3</v>
      </c>
      <c r="T6" s="233">
        <v>-0.40888078851772969</v>
      </c>
      <c r="U6" s="233">
        <v>-0.22525752645817448</v>
      </c>
      <c r="V6" s="233">
        <v>-8.0463762285488682E-2</v>
      </c>
      <c r="W6" s="233">
        <v>-0.23393476853940376</v>
      </c>
      <c r="X6" s="233">
        <v>-1.2314881424378504E-2</v>
      </c>
      <c r="Y6" s="233">
        <v>-0.22868615289398</v>
      </c>
      <c r="Z6" s="233">
        <v>0.13080156034597923</v>
      </c>
      <c r="AA6" s="233">
        <v>3.5040647109247855E-3</v>
      </c>
      <c r="AB6" s="233">
        <v>-0.10194489459908526</v>
      </c>
      <c r="AC6" s="233">
        <v>-3.9194734195802175E-2</v>
      </c>
      <c r="AD6" s="233">
        <v>-0.19846696470612768</v>
      </c>
      <c r="AE6" s="233">
        <v>-9.6274665097686424E-2</v>
      </c>
      <c r="AF6" s="233">
        <v>-7.4392486714222716E-2</v>
      </c>
      <c r="AG6" s="233">
        <v>-4.5960624601205813E-2</v>
      </c>
      <c r="AH6" s="233">
        <v>-2.5503631788391219E-2</v>
      </c>
      <c r="AI6" s="233">
        <v>-7.2143636388636773E-2</v>
      </c>
      <c r="AJ6" s="233">
        <v>-7.3903084531099728E-2</v>
      </c>
      <c r="AK6" s="233">
        <v>-7.309647677088478E-2</v>
      </c>
      <c r="AM6" s="245" t="s">
        <v>341</v>
      </c>
      <c r="AN6" s="245" t="s">
        <v>1474</v>
      </c>
    </row>
    <row r="7" spans="1:48" ht="18" x14ac:dyDescent="0.35">
      <c r="B7" s="255" t="s">
        <v>1250</v>
      </c>
      <c r="C7" s="256" t="s">
        <v>1077</v>
      </c>
      <c r="D7" s="234">
        <v>0.18902877767516929</v>
      </c>
      <c r="E7" s="234">
        <v>-0.1861209616260581</v>
      </c>
      <c r="F7" s="234">
        <v>9.7646439608173857E-3</v>
      </c>
      <c r="G7" s="234">
        <v>-1.984944120326464E-2</v>
      </c>
      <c r="H7" s="234">
        <v>2.186101452348917E-2</v>
      </c>
      <c r="I7" s="234">
        <v>2.8108774099021992E-2</v>
      </c>
      <c r="J7" s="234">
        <v>-4.3038847133538671E-2</v>
      </c>
      <c r="K7" s="234">
        <v>-9.1542421799387902E-2</v>
      </c>
      <c r="L7" s="234">
        <v>0.33784171970462912</v>
      </c>
      <c r="M7" s="234">
        <v>0.2479024937577122</v>
      </c>
      <c r="N7" s="234">
        <v>-4.7025329218693457E-2</v>
      </c>
      <c r="O7" s="234">
        <v>1.01472249057498E-2</v>
      </c>
      <c r="P7" s="234">
        <v>1.4499996935418719E-2</v>
      </c>
      <c r="Q7" s="234">
        <v>1.0434415721378369E-2</v>
      </c>
      <c r="R7" s="234">
        <v>-1.330569593763164E-2</v>
      </c>
      <c r="S7" s="234">
        <v>0.23923729480646491</v>
      </c>
      <c r="T7" s="234">
        <v>-0.174693369884063</v>
      </c>
      <c r="U7" s="234">
        <v>6.5464564357025537E-2</v>
      </c>
      <c r="V7" s="234">
        <v>0.16831782536617801</v>
      </c>
      <c r="W7" s="234">
        <v>-0.13444993904773711</v>
      </c>
      <c r="X7" s="234">
        <v>6.6874062369288154E-2</v>
      </c>
      <c r="Y7" s="234">
        <v>-0.1013634364903134</v>
      </c>
      <c r="Z7" s="234">
        <v>0.1935783346076459</v>
      </c>
      <c r="AA7" s="234">
        <v>-5.0572074669341861E-2</v>
      </c>
      <c r="AB7" s="234">
        <v>-4.7697699450418601E-2</v>
      </c>
      <c r="AC7" s="234">
        <v>6.8737614631797825E-2</v>
      </c>
      <c r="AD7" s="234">
        <v>-7.8586889031794366E-2</v>
      </c>
      <c r="AE7" s="234">
        <v>-6.8343512278643069E-4</v>
      </c>
      <c r="AF7" s="234">
        <v>2.6505426944393708E-4</v>
      </c>
      <c r="AG7" s="234">
        <v>3.3051889812752349E-4</v>
      </c>
      <c r="AH7" s="234">
        <v>3.3442528427544922E-4</v>
      </c>
      <c r="AI7" s="234">
        <v>3.4758906570056639E-4</v>
      </c>
      <c r="AJ7" s="234">
        <v>3.5381892180168879E-4</v>
      </c>
      <c r="AK7" s="234">
        <v>3.6514724842696099E-4</v>
      </c>
      <c r="AM7" s="222" t="s">
        <v>1073</v>
      </c>
      <c r="AN7" s="274">
        <f>AK5</f>
        <v>7.1443725727418764E-2</v>
      </c>
    </row>
    <row r="8" spans="1:48" ht="18" x14ac:dyDescent="0.35">
      <c r="B8" s="255" t="s">
        <v>1251</v>
      </c>
      <c r="C8" s="256" t="s">
        <v>1077</v>
      </c>
      <c r="D8" s="234">
        <v>-0.2115825732093333</v>
      </c>
      <c r="E8" s="234">
        <v>-0.2245909544743333</v>
      </c>
      <c r="F8" s="234">
        <v>-0.34955284092666661</v>
      </c>
      <c r="G8" s="234">
        <v>-0.28548234070950002</v>
      </c>
      <c r="H8" s="234">
        <v>-0.26546630017966671</v>
      </c>
      <c r="I8" s="234">
        <v>-0.2281467223482333</v>
      </c>
      <c r="J8" s="234">
        <v>-0.24013829630266659</v>
      </c>
      <c r="K8" s="234">
        <v>-0.33846582789800012</v>
      </c>
      <c r="L8" s="234">
        <v>-0.27710171130216671</v>
      </c>
      <c r="M8" s="234">
        <v>-0.240605227698</v>
      </c>
      <c r="N8" s="234">
        <v>-0.3808983077423333</v>
      </c>
      <c r="O8" s="234">
        <v>-0.27534566101166669</v>
      </c>
      <c r="P8" s="234">
        <v>-0.2280929176753333</v>
      </c>
      <c r="Q8" s="234">
        <v>-0.19970741030643341</v>
      </c>
      <c r="R8" s="234">
        <v>-0.33963553646733341</v>
      </c>
      <c r="S8" s="234">
        <v>-0.242614950809</v>
      </c>
      <c r="T8" s="234">
        <v>-0.23418741863366671</v>
      </c>
      <c r="U8" s="234">
        <v>-0.29072209081520001</v>
      </c>
      <c r="V8" s="234">
        <v>-0.24878158765166669</v>
      </c>
      <c r="W8" s="234">
        <v>-9.9484829491666663E-2</v>
      </c>
      <c r="X8" s="234">
        <v>-7.9188943793666658E-2</v>
      </c>
      <c r="Y8" s="234">
        <v>-0.1273227164036666</v>
      </c>
      <c r="Z8" s="234">
        <v>-6.2776774261666668E-2</v>
      </c>
      <c r="AA8" s="234">
        <v>5.4076139380266647E-2</v>
      </c>
      <c r="AB8" s="234">
        <v>-5.4247195148666667E-2</v>
      </c>
      <c r="AC8" s="234">
        <v>-0.1079323488276</v>
      </c>
      <c r="AD8" s="234">
        <v>-0.1198800756743333</v>
      </c>
      <c r="AE8" s="234">
        <v>-9.5591229974899994E-2</v>
      </c>
      <c r="AF8" s="234">
        <v>-7.4657540983666656E-2</v>
      </c>
      <c r="AG8" s="234">
        <v>-4.6291143499333338E-2</v>
      </c>
      <c r="AH8" s="234">
        <v>-2.5838057072666669E-2</v>
      </c>
      <c r="AI8" s="234">
        <v>-7.2491225454337338E-2</v>
      </c>
      <c r="AJ8" s="234">
        <v>-7.425690345290141E-2</v>
      </c>
      <c r="AK8" s="234">
        <v>-7.3461624019311736E-2</v>
      </c>
      <c r="AM8" s="222" t="s">
        <v>1074</v>
      </c>
      <c r="AN8" s="274">
        <f>AK33</f>
        <v>5.1060486033620265</v>
      </c>
    </row>
    <row r="9" spans="1:48" x14ac:dyDescent="0.25">
      <c r="B9" s="257" t="s">
        <v>1252</v>
      </c>
      <c r="C9" s="257" t="s">
        <v>535</v>
      </c>
      <c r="D9" s="233">
        <v>0.56397739370429112</v>
      </c>
      <c r="E9" s="233">
        <v>0.25577218256307432</v>
      </c>
      <c r="F9" s="233">
        <v>0.24736575345587389</v>
      </c>
      <c r="G9" s="233">
        <v>0.29542647544470829</v>
      </c>
      <c r="H9" s="233">
        <v>0.29273278760898502</v>
      </c>
      <c r="I9" s="233">
        <v>0.30052098672125299</v>
      </c>
      <c r="J9" s="233">
        <v>0.2574861068829874</v>
      </c>
      <c r="K9" s="233">
        <v>0.33583861985540825</v>
      </c>
      <c r="L9" s="233">
        <v>0.56816501675678188</v>
      </c>
      <c r="M9" s="233">
        <v>0.69231477455566626</v>
      </c>
      <c r="N9" s="233">
        <v>0.17132583270449159</v>
      </c>
      <c r="O9" s="233">
        <v>0.10447388699378539</v>
      </c>
      <c r="P9" s="233">
        <v>0.12582070920159402</v>
      </c>
      <c r="Q9" s="233">
        <v>0.17654983048117617</v>
      </c>
      <c r="R9" s="233">
        <v>0.29396138575519748</v>
      </c>
      <c r="S9" s="233">
        <v>0.22699358411875459</v>
      </c>
      <c r="T9" s="233">
        <v>0.15733953218545399</v>
      </c>
      <c r="U9" s="233">
        <v>-8.5586565533936482E-3</v>
      </c>
      <c r="V9" s="233">
        <v>0.2495121706911565</v>
      </c>
      <c r="W9" s="233">
        <v>0.20324118661209853</v>
      </c>
      <c r="X9" s="233">
        <v>1.9773501590326443E-2</v>
      </c>
      <c r="Y9" s="233">
        <v>0.22512773049859813</v>
      </c>
      <c r="Z9" s="233">
        <v>0.19778711276135966</v>
      </c>
      <c r="AA9" s="233">
        <v>0.10202599776452503</v>
      </c>
      <c r="AB9" s="233">
        <v>0.12315866818835364</v>
      </c>
      <c r="AC9" s="233">
        <v>0.13705043471283909</v>
      </c>
      <c r="AD9" s="233">
        <v>0.2104701782482527</v>
      </c>
      <c r="AE9" s="233">
        <v>0.19044305802750922</v>
      </c>
      <c r="AF9" s="233">
        <v>0.14426841481869582</v>
      </c>
      <c r="AG9" s="233">
        <v>0.12046157570833863</v>
      </c>
      <c r="AH9" s="233">
        <v>0.10988691963202155</v>
      </c>
      <c r="AI9" s="233">
        <v>0.14067372715364435</v>
      </c>
      <c r="AJ9" s="233">
        <v>0.14198321600146777</v>
      </c>
      <c r="AK9" s="233">
        <v>0.14454020249830354</v>
      </c>
      <c r="AM9" s="222" t="s">
        <v>1269</v>
      </c>
      <c r="AN9" s="274">
        <f>AK73</f>
        <v>0.96993620130746272</v>
      </c>
    </row>
    <row r="10" spans="1:48" ht="18" x14ac:dyDescent="0.35">
      <c r="B10" s="255" t="s">
        <v>1250</v>
      </c>
      <c r="C10" s="256" t="s">
        <v>1077</v>
      </c>
      <c r="D10" s="234">
        <v>0.23589428955515621</v>
      </c>
      <c r="E10" s="234">
        <v>-9.8759174351364887E-2</v>
      </c>
      <c r="F10" s="234">
        <v>3.0970435484637031E-3</v>
      </c>
      <c r="G10" s="234">
        <v>1.6644041346871908E-2</v>
      </c>
      <c r="H10" s="234">
        <v>6.9558589867656007E-2</v>
      </c>
      <c r="I10" s="234">
        <v>1.1554193951264322E-2</v>
      </c>
      <c r="J10" s="234">
        <v>-6.290995068439402E-2</v>
      </c>
      <c r="K10" s="234">
        <v>6.0900652679233974E-2</v>
      </c>
      <c r="L10" s="234">
        <v>0.37094867310808127</v>
      </c>
      <c r="M10" s="234">
        <v>0.4773453167138062</v>
      </c>
      <c r="N10" s="234">
        <v>8.8655067594054573E-3</v>
      </c>
      <c r="O10" s="234">
        <v>-4.3353468837570408E-2</v>
      </c>
      <c r="P10" s="234">
        <v>-6.3106187277431489E-2</v>
      </c>
      <c r="Q10" s="234">
        <v>2.6695796759347586E-2</v>
      </c>
      <c r="R10" s="234">
        <v>0.15391781910569921</v>
      </c>
      <c r="S10" s="234">
        <v>6.9415904493196526E-2</v>
      </c>
      <c r="T10" s="234">
        <v>7.6728222341495653E-3</v>
      </c>
      <c r="U10" s="234">
        <v>-9.6778854916634516E-2</v>
      </c>
      <c r="V10" s="234">
        <v>9.6049632007312605E-2</v>
      </c>
      <c r="W10" s="234">
        <v>8.2067839449351573E-2</v>
      </c>
      <c r="X10" s="234">
        <v>-0.12621979679239262</v>
      </c>
      <c r="Y10" s="234">
        <v>9.192151522634022E-2</v>
      </c>
      <c r="Z10" s="234">
        <v>5.6651857179263056E-2</v>
      </c>
      <c r="AA10" s="234">
        <v>8.865439703229503E-4</v>
      </c>
      <c r="AB10" s="234">
        <v>-1.1687311302453842E-2</v>
      </c>
      <c r="AC10" s="234">
        <v>-4.2846347424049661E-4</v>
      </c>
      <c r="AD10" s="234">
        <v>8.2771132042901041E-2</v>
      </c>
      <c r="AE10" s="234">
        <v>5.8498646529685436E-2</v>
      </c>
      <c r="AF10" s="234">
        <v>2.8673304732355416E-2</v>
      </c>
      <c r="AG10" s="234">
        <v>2.9751404131381526E-2</v>
      </c>
      <c r="AH10" s="234">
        <v>3.0725137412331117E-2</v>
      </c>
      <c r="AI10" s="234">
        <v>3.1121547429791157E-2</v>
      </c>
      <c r="AJ10" s="234">
        <v>3.1478538786098034E-2</v>
      </c>
      <c r="AK10" s="234">
        <v>3.1673270832537695E-2</v>
      </c>
      <c r="AM10" s="222" t="s">
        <v>1278</v>
      </c>
      <c r="AN10" s="274">
        <f>AK119</f>
        <v>3.0654809400211813E-2</v>
      </c>
    </row>
    <row r="11" spans="1:48" ht="18" x14ac:dyDescent="0.35">
      <c r="B11" s="255" t="s">
        <v>1253</v>
      </c>
      <c r="C11" s="256" t="s">
        <v>1077</v>
      </c>
      <c r="D11" s="234">
        <v>4.8218848229762837E-3</v>
      </c>
      <c r="E11" s="234">
        <v>4.8530797970494028E-3</v>
      </c>
      <c r="F11" s="234">
        <v>4.8842747711225591E-3</v>
      </c>
      <c r="G11" s="234">
        <v>4.9192590345108833E-3</v>
      </c>
      <c r="H11" s="234">
        <v>4.9542432978992067E-3</v>
      </c>
      <c r="I11" s="234">
        <v>4.9892275612875656E-3</v>
      </c>
      <c r="J11" s="234">
        <v>5.0242118246758899E-3</v>
      </c>
      <c r="K11" s="234">
        <v>5.0591960880642132E-3</v>
      </c>
      <c r="L11" s="234">
        <v>5.094180351452573E-3</v>
      </c>
      <c r="M11" s="234">
        <v>5.1291646148408964E-3</v>
      </c>
      <c r="N11" s="234">
        <v>5.164148878229257E-3</v>
      </c>
      <c r="O11" s="234">
        <v>5.1989860524905597E-3</v>
      </c>
      <c r="P11" s="234">
        <v>5.2338232267518632E-3</v>
      </c>
      <c r="Q11" s="234">
        <v>5.2686604010132032E-3</v>
      </c>
      <c r="R11" s="234">
        <v>5.3034975752745059E-3</v>
      </c>
      <c r="S11" s="234">
        <v>5.3383347495358459E-3</v>
      </c>
      <c r="T11" s="234">
        <v>5.3731719237971503E-3</v>
      </c>
      <c r="U11" s="234">
        <v>5.4080090980584902E-3</v>
      </c>
      <c r="V11" s="234">
        <v>5.4428462723197929E-3</v>
      </c>
      <c r="W11" s="234">
        <v>5.4776834465811329E-3</v>
      </c>
      <c r="X11" s="234">
        <v>5.5215232244189604E-3</v>
      </c>
      <c r="Y11" s="234">
        <v>5.5653630022567862E-3</v>
      </c>
      <c r="Z11" s="234">
        <v>5.6092027800946128E-3</v>
      </c>
      <c r="AA11" s="234">
        <v>5.6530425579324767E-3</v>
      </c>
      <c r="AB11" s="234">
        <v>5.6968823357703034E-3</v>
      </c>
      <c r="AC11" s="234">
        <v>5.74072211360813E-3</v>
      </c>
      <c r="AD11" s="234">
        <v>5.7845618914459567E-3</v>
      </c>
      <c r="AE11" s="234">
        <v>5.8284016692837833E-3</v>
      </c>
      <c r="AF11" s="234">
        <v>5.8284016692837833E-3</v>
      </c>
      <c r="AG11" s="234">
        <v>5.8284016692837833E-3</v>
      </c>
      <c r="AH11" s="234">
        <v>5.8284016692837833E-3</v>
      </c>
      <c r="AI11" s="234">
        <v>5.8284016692837833E-3</v>
      </c>
      <c r="AJ11" s="234">
        <v>5.8284016692837833E-3</v>
      </c>
      <c r="AK11" s="234">
        <v>5.8284016692837833E-3</v>
      </c>
      <c r="AM11" s="222" t="s">
        <v>1291</v>
      </c>
      <c r="AN11" s="274">
        <f>AK134</f>
        <v>0.26454328001316219</v>
      </c>
    </row>
    <row r="12" spans="1:48" ht="18" x14ac:dyDescent="0.35">
      <c r="B12" s="255" t="s">
        <v>1254</v>
      </c>
      <c r="C12" s="256" t="s">
        <v>1077</v>
      </c>
      <c r="D12" s="234">
        <v>9.8138746073907369E-3</v>
      </c>
      <c r="E12" s="234">
        <v>9.8773650421841632E-3</v>
      </c>
      <c r="F12" s="234">
        <v>9.9408554769775531E-3</v>
      </c>
      <c r="G12" s="234">
        <v>1.001205816777785E-2</v>
      </c>
      <c r="H12" s="234">
        <v>1.008326085857816E-2</v>
      </c>
      <c r="I12" s="234">
        <v>1.015446354937846E-2</v>
      </c>
      <c r="J12" s="234">
        <v>1.0225666240178771E-2</v>
      </c>
      <c r="K12" s="234">
        <v>1.029686893097911E-2</v>
      </c>
      <c r="L12" s="234">
        <v>1.036807162177941E-2</v>
      </c>
      <c r="M12" s="234">
        <v>1.0439274312579711E-2</v>
      </c>
      <c r="N12" s="234">
        <v>1.0510477003380019E-2</v>
      </c>
      <c r="O12" s="234">
        <v>1.0581380326961549E-2</v>
      </c>
      <c r="P12" s="234">
        <v>1.065228365054308E-2</v>
      </c>
      <c r="Q12" s="234">
        <v>1.0723186974124639E-2</v>
      </c>
      <c r="R12" s="234">
        <v>1.079409029770617E-2</v>
      </c>
      <c r="S12" s="234">
        <v>1.086499362128774E-2</v>
      </c>
      <c r="T12" s="234">
        <v>1.093589694486927E-2</v>
      </c>
      <c r="U12" s="234">
        <v>1.10068002684508E-2</v>
      </c>
      <c r="V12" s="234">
        <v>1.1077703592032371E-2</v>
      </c>
      <c r="W12" s="234">
        <v>1.1148606915613901E-2</v>
      </c>
      <c r="X12" s="234">
        <v>1.123783303741307E-2</v>
      </c>
      <c r="Y12" s="234">
        <v>1.132705915921221E-2</v>
      </c>
      <c r="Z12" s="234">
        <v>1.1416285281011339E-2</v>
      </c>
      <c r="AA12" s="234">
        <v>1.1505511402810521E-2</v>
      </c>
      <c r="AB12" s="234">
        <v>1.159473752460965E-2</v>
      </c>
      <c r="AC12" s="234">
        <v>1.168396364640883E-2</v>
      </c>
      <c r="AD12" s="234">
        <v>1.1773189768207961E-2</v>
      </c>
      <c r="AE12" s="234">
        <v>1.18624158900071E-2</v>
      </c>
      <c r="AF12" s="234">
        <v>1.18624158900071E-2</v>
      </c>
      <c r="AG12" s="234">
        <v>1.18624158900071E-2</v>
      </c>
      <c r="AH12" s="234">
        <v>1.18624158900071E-2</v>
      </c>
      <c r="AI12" s="234">
        <v>1.18624158900071E-2</v>
      </c>
      <c r="AJ12" s="234">
        <v>1.186241589000714E-2</v>
      </c>
      <c r="AK12" s="234">
        <v>1.186241589000714E-2</v>
      </c>
    </row>
    <row r="13" spans="1:48" ht="18" x14ac:dyDescent="0.35">
      <c r="B13" s="255" t="s">
        <v>1255</v>
      </c>
      <c r="C13" s="256" t="s">
        <v>1077</v>
      </c>
      <c r="D13" s="234">
        <v>1.0941467987101151E-2</v>
      </c>
      <c r="E13" s="234">
        <v>1.1012253338205611E-2</v>
      </c>
      <c r="F13" s="234">
        <v>1.108303868931006E-2</v>
      </c>
      <c r="G13" s="234">
        <v>1.116242241828091E-2</v>
      </c>
      <c r="H13" s="234">
        <v>1.1241806147251751E-2</v>
      </c>
      <c r="I13" s="234">
        <v>1.13211898762226E-2</v>
      </c>
      <c r="J13" s="234">
        <v>1.140057360519345E-2</v>
      </c>
      <c r="K13" s="234">
        <v>1.1479957334164291E-2</v>
      </c>
      <c r="L13" s="234">
        <v>1.155934106313514E-2</v>
      </c>
      <c r="M13" s="234">
        <v>1.163872479210599E-2</v>
      </c>
      <c r="N13" s="234">
        <v>1.1718108521076831E-2</v>
      </c>
      <c r="O13" s="234">
        <v>1.1797158486170351E-2</v>
      </c>
      <c r="P13" s="234">
        <v>1.18762084512639E-2</v>
      </c>
      <c r="Q13" s="234">
        <v>1.195525841635744E-2</v>
      </c>
      <c r="R13" s="234">
        <v>1.203430838145096E-2</v>
      </c>
      <c r="S13" s="234">
        <v>1.211335834654447E-2</v>
      </c>
      <c r="T13" s="234">
        <v>1.2192408311638019E-2</v>
      </c>
      <c r="U13" s="234">
        <v>1.2271458276731571E-2</v>
      </c>
      <c r="V13" s="234">
        <v>1.2350508241825091E-2</v>
      </c>
      <c r="W13" s="234">
        <v>1.242955820691864E-2</v>
      </c>
      <c r="X13" s="234">
        <v>1.252903622088708E-2</v>
      </c>
      <c r="Y13" s="234">
        <v>1.262851423485553E-2</v>
      </c>
      <c r="Z13" s="234">
        <v>1.2727992248823979E-2</v>
      </c>
      <c r="AA13" s="234">
        <v>1.282747026279242E-2</v>
      </c>
      <c r="AB13" s="234">
        <v>1.292694827676087E-2</v>
      </c>
      <c r="AC13" s="234">
        <v>1.302642629072932E-2</v>
      </c>
      <c r="AD13" s="234">
        <v>1.3125904304697761E-2</v>
      </c>
      <c r="AE13" s="234">
        <v>1.3225382318666211E-2</v>
      </c>
      <c r="AF13" s="234">
        <v>1.3225382318666211E-2</v>
      </c>
      <c r="AG13" s="234">
        <v>1.3225382318666211E-2</v>
      </c>
      <c r="AH13" s="234">
        <v>1.3225382318666211E-2</v>
      </c>
      <c r="AI13" s="234">
        <v>1.3225382318666211E-2</v>
      </c>
      <c r="AJ13" s="234">
        <v>1.3225382318666211E-2</v>
      </c>
      <c r="AK13" s="234">
        <v>1.3225382318666211E-2</v>
      </c>
    </row>
    <row r="14" spans="1:48" ht="18" x14ac:dyDescent="0.35">
      <c r="B14" s="255" t="s">
        <v>1251</v>
      </c>
      <c r="C14" s="256" t="s">
        <v>1077</v>
      </c>
      <c r="D14" s="234">
        <v>0.30250587673166662</v>
      </c>
      <c r="E14" s="234">
        <v>0.32878865873700003</v>
      </c>
      <c r="F14" s="234">
        <v>0.21836054096999999</v>
      </c>
      <c r="G14" s="234">
        <v>0.25268869447726677</v>
      </c>
      <c r="H14" s="234">
        <v>0.19689488743759995</v>
      </c>
      <c r="I14" s="234">
        <v>0.26250191178310012</v>
      </c>
      <c r="J14" s="234">
        <v>0.29374560589733334</v>
      </c>
      <c r="K14" s="234">
        <v>0.24810194482296663</v>
      </c>
      <c r="L14" s="234">
        <v>0.17019475061233327</v>
      </c>
      <c r="M14" s="234">
        <v>0.18776229412233331</v>
      </c>
      <c r="N14" s="234">
        <v>0.1350675915424</v>
      </c>
      <c r="O14" s="234">
        <v>0.12024983096573336</v>
      </c>
      <c r="P14" s="234">
        <v>0.16116458115046667</v>
      </c>
      <c r="Q14" s="234">
        <v>0.12190692793033329</v>
      </c>
      <c r="R14" s="234">
        <v>0.11191167039506662</v>
      </c>
      <c r="S14" s="234">
        <v>0.12926099290819001</v>
      </c>
      <c r="T14" s="234">
        <v>0.121165232771</v>
      </c>
      <c r="U14" s="234">
        <v>5.953393072000001E-2</v>
      </c>
      <c r="V14" s="234">
        <v>0.12459148057766661</v>
      </c>
      <c r="W14" s="234">
        <v>9.2117498593633301E-2</v>
      </c>
      <c r="X14" s="234">
        <v>0.11670490589999996</v>
      </c>
      <c r="Y14" s="234">
        <v>0.10368527887593337</v>
      </c>
      <c r="Z14" s="234">
        <v>0.11138177527216664</v>
      </c>
      <c r="AA14" s="234">
        <v>7.1153429570666657E-2</v>
      </c>
      <c r="AB14" s="234">
        <v>0.10462741135366668</v>
      </c>
      <c r="AC14" s="234">
        <v>0.10702778613633332</v>
      </c>
      <c r="AD14" s="234">
        <v>9.7015390240999991E-2</v>
      </c>
      <c r="AE14" s="234">
        <v>0.10102821161986668</v>
      </c>
      <c r="AF14" s="234">
        <v>8.4678910208383293E-2</v>
      </c>
      <c r="AG14" s="234">
        <v>5.9793971698999991E-2</v>
      </c>
      <c r="AH14" s="234">
        <v>4.8245582341733324E-2</v>
      </c>
      <c r="AI14" s="234">
        <v>7.863597984589607E-2</v>
      </c>
      <c r="AJ14" s="234">
        <v>7.9588477337412616E-2</v>
      </c>
      <c r="AK14" s="234">
        <v>8.1950731787808748E-2</v>
      </c>
    </row>
    <row r="15" spans="1:48" hidden="1" x14ac:dyDescent="0.25">
      <c r="B15" s="258" t="s">
        <v>1256</v>
      </c>
      <c r="C15" s="256" t="s">
        <v>535</v>
      </c>
      <c r="D15" s="234">
        <v>2.104179E-4</v>
      </c>
      <c r="E15" s="234">
        <v>1.517325333333333E-4</v>
      </c>
      <c r="F15" s="234">
        <v>-7.3449933333333327E-4</v>
      </c>
      <c r="G15" s="234">
        <v>-6.8144999999999989E-4</v>
      </c>
      <c r="H15" s="234">
        <v>-6.4807233333333324E-4</v>
      </c>
      <c r="I15" s="234">
        <v>-5.7317700000000002E-4</v>
      </c>
      <c r="J15" s="234">
        <v>-5.4022833333333339E-4</v>
      </c>
      <c r="K15" s="234">
        <v>-4.9375333333333325E-4</v>
      </c>
      <c r="L15" s="234">
        <v>-2.8972569999999998E-4</v>
      </c>
      <c r="M15" s="234">
        <v>-2.2989193333333331E-4</v>
      </c>
      <c r="N15" s="234">
        <v>-1.004259666666667E-4</v>
      </c>
      <c r="O15" s="234">
        <v>-6.2237633333333335E-5</v>
      </c>
      <c r="P15" s="234">
        <v>1.0734093333333329E-4</v>
      </c>
      <c r="Q15" s="234">
        <v>9.7602633333333333E-5</v>
      </c>
      <c r="R15" s="234">
        <v>1.184318666666667E-4</v>
      </c>
      <c r="S15" s="234">
        <v>1.176329E-4</v>
      </c>
      <c r="T15" s="234">
        <v>1.2391683333333331E-4</v>
      </c>
      <c r="U15" s="234">
        <v>1.3663980000000001E-4</v>
      </c>
      <c r="V15" s="234">
        <v>1.032141E-4</v>
      </c>
      <c r="W15" s="234">
        <v>7.1542166666666674E-5</v>
      </c>
      <c r="X15" s="234">
        <v>6.1274399999999997E-5</v>
      </c>
      <c r="Y15" s="234">
        <v>6.6430833333333328E-5</v>
      </c>
      <c r="Z15" s="234">
        <v>7.0900866666666671E-5</v>
      </c>
      <c r="AA15" s="234">
        <v>7.2624200000000002E-5</v>
      </c>
      <c r="AB15" s="234">
        <v>7.43633E-5</v>
      </c>
      <c r="AC15" s="234">
        <v>4.5009066666666669E-5</v>
      </c>
      <c r="AD15" s="234">
        <v>4.6309633333333328E-5</v>
      </c>
      <c r="AE15" s="234">
        <v>4.8581133333333328E-5</v>
      </c>
      <c r="AF15" s="234">
        <v>1.2270096666666669E-4</v>
      </c>
      <c r="AG15" s="234">
        <v>1.250322333333333E-4</v>
      </c>
      <c r="AH15" s="234">
        <v>0</v>
      </c>
      <c r="AI15" s="234">
        <v>7.2511261857020805E-5</v>
      </c>
      <c r="AJ15" s="234">
        <v>6.6103052125426494E-5</v>
      </c>
      <c r="AK15" s="234">
        <v>5.8648530964558099E-5</v>
      </c>
    </row>
    <row r="16" spans="1:48" hidden="1" x14ac:dyDescent="0.25">
      <c r="B16" s="255" t="s">
        <v>1250</v>
      </c>
      <c r="C16" s="256" t="s">
        <v>92</v>
      </c>
      <c r="D16" s="234">
        <v>0</v>
      </c>
      <c r="E16" s="234">
        <v>0</v>
      </c>
      <c r="F16" s="234">
        <v>0</v>
      </c>
      <c r="G16" s="234">
        <v>0</v>
      </c>
      <c r="H16" s="234">
        <v>0</v>
      </c>
      <c r="I16" s="234">
        <v>0</v>
      </c>
      <c r="J16" s="234">
        <v>0</v>
      </c>
      <c r="K16" s="234">
        <v>0</v>
      </c>
      <c r="L16" s="234">
        <v>0</v>
      </c>
      <c r="M16" s="234">
        <v>0</v>
      </c>
      <c r="N16" s="234">
        <v>0</v>
      </c>
      <c r="O16" s="234">
        <v>0</v>
      </c>
      <c r="P16" s="234">
        <v>0</v>
      </c>
      <c r="Q16" s="234">
        <v>0</v>
      </c>
      <c r="R16" s="234">
        <v>0</v>
      </c>
      <c r="S16" s="234">
        <v>0</v>
      </c>
      <c r="T16" s="234">
        <v>0</v>
      </c>
      <c r="U16" s="234">
        <v>0</v>
      </c>
      <c r="V16" s="234">
        <v>0</v>
      </c>
      <c r="W16" s="234">
        <v>0</v>
      </c>
      <c r="X16" s="234">
        <v>0</v>
      </c>
      <c r="Y16" s="234">
        <v>0</v>
      </c>
      <c r="Z16" s="234">
        <v>0</v>
      </c>
      <c r="AA16" s="234">
        <v>0</v>
      </c>
      <c r="AB16" s="234">
        <v>0</v>
      </c>
      <c r="AC16" s="234">
        <v>0</v>
      </c>
      <c r="AD16" s="234">
        <v>0</v>
      </c>
      <c r="AE16" s="234">
        <v>0</v>
      </c>
      <c r="AF16" s="234">
        <v>0</v>
      </c>
      <c r="AG16" s="234">
        <v>0</v>
      </c>
      <c r="AH16" s="234">
        <v>0</v>
      </c>
      <c r="AI16" s="234">
        <v>0</v>
      </c>
      <c r="AJ16" s="234">
        <v>0</v>
      </c>
      <c r="AK16" s="234">
        <v>0</v>
      </c>
    </row>
    <row r="17" spans="2:37" hidden="1" x14ac:dyDescent="0.25">
      <c r="B17" s="255" t="s">
        <v>1251</v>
      </c>
      <c r="C17" s="256" t="s">
        <v>92</v>
      </c>
      <c r="D17" s="234">
        <v>2.104179E-4</v>
      </c>
      <c r="E17" s="234">
        <v>1.517325333333333E-4</v>
      </c>
      <c r="F17" s="234">
        <v>-7.3449933333333327E-4</v>
      </c>
      <c r="G17" s="234">
        <v>-6.8144999999999989E-4</v>
      </c>
      <c r="H17" s="234">
        <v>-6.4807233333333324E-4</v>
      </c>
      <c r="I17" s="234">
        <v>-5.7317700000000002E-4</v>
      </c>
      <c r="J17" s="234">
        <v>-5.4022833333333339E-4</v>
      </c>
      <c r="K17" s="234">
        <v>-4.9375333333333325E-4</v>
      </c>
      <c r="L17" s="234">
        <v>-2.8972569999999998E-4</v>
      </c>
      <c r="M17" s="234">
        <v>-2.2989193333333331E-4</v>
      </c>
      <c r="N17" s="234">
        <v>-1.004259666666667E-4</v>
      </c>
      <c r="O17" s="234">
        <v>-6.2237633333333335E-5</v>
      </c>
      <c r="P17" s="234">
        <v>1.0734093333333329E-4</v>
      </c>
      <c r="Q17" s="234">
        <v>9.7602633333333333E-5</v>
      </c>
      <c r="R17" s="234">
        <v>1.184318666666667E-4</v>
      </c>
      <c r="S17" s="234">
        <v>1.176329E-4</v>
      </c>
      <c r="T17" s="234">
        <v>1.2391683333333331E-4</v>
      </c>
      <c r="U17" s="234">
        <v>1.3663980000000001E-4</v>
      </c>
      <c r="V17" s="234">
        <v>1.032141E-4</v>
      </c>
      <c r="W17" s="234">
        <v>7.1542166666666674E-5</v>
      </c>
      <c r="X17" s="234">
        <v>6.1274399999999997E-5</v>
      </c>
      <c r="Y17" s="234">
        <v>6.6430833333333328E-5</v>
      </c>
      <c r="Z17" s="234">
        <v>7.0900866666666671E-5</v>
      </c>
      <c r="AA17" s="234">
        <v>7.2624200000000002E-5</v>
      </c>
      <c r="AB17" s="234">
        <v>7.43633E-5</v>
      </c>
      <c r="AC17" s="234">
        <v>4.5009066666666669E-5</v>
      </c>
      <c r="AD17" s="234">
        <v>4.6309633333333328E-5</v>
      </c>
      <c r="AE17" s="234">
        <v>4.8581133333333328E-5</v>
      </c>
      <c r="AF17" s="234">
        <v>1.2270096666666669E-4</v>
      </c>
      <c r="AG17" s="234">
        <v>1.250322333333333E-4</v>
      </c>
      <c r="AH17" s="234">
        <v>0</v>
      </c>
      <c r="AI17" s="234">
        <v>7.2511261857020805E-5</v>
      </c>
      <c r="AJ17" s="234">
        <v>6.6103052125426494E-5</v>
      </c>
      <c r="AK17" s="234">
        <v>5.8648530964558099E-5</v>
      </c>
    </row>
    <row r="18" spans="2:37" hidden="1" x14ac:dyDescent="0.25">
      <c r="B18" s="258" t="s">
        <v>1257</v>
      </c>
      <c r="C18" s="256" t="s">
        <v>535</v>
      </c>
      <c r="D18" s="234">
        <v>0.56577800988077076</v>
      </c>
      <c r="E18" s="234">
        <v>0.26874797804054434</v>
      </c>
      <c r="F18" s="234">
        <v>0.25059040345587391</v>
      </c>
      <c r="G18" s="234">
        <v>0.30428219239873</v>
      </c>
      <c r="H18" s="234">
        <v>0.30971473289954315</v>
      </c>
      <c r="I18" s="234">
        <v>0.31930271078255745</v>
      </c>
      <c r="J18" s="234">
        <v>0.2641504087111145</v>
      </c>
      <c r="K18" s="234">
        <v>0.34997404571467738</v>
      </c>
      <c r="L18" s="234">
        <v>0.57401845746244451</v>
      </c>
      <c r="M18" s="234">
        <v>0.70945987224402762</v>
      </c>
      <c r="N18" s="234">
        <v>0.19578434687577201</v>
      </c>
      <c r="O18" s="234">
        <v>0.1240936217136267</v>
      </c>
      <c r="P18" s="234">
        <v>0.14121519042995812</v>
      </c>
      <c r="Q18" s="234">
        <v>0.18929590573505195</v>
      </c>
      <c r="R18" s="234">
        <v>0.3109778894582651</v>
      </c>
      <c r="S18" s="234">
        <v>0.24351127248542126</v>
      </c>
      <c r="T18" s="234">
        <v>0.16608102176595696</v>
      </c>
      <c r="U18" s="234">
        <v>1.3885634448829481E-2</v>
      </c>
      <c r="V18" s="234">
        <v>0.27682068509374713</v>
      </c>
      <c r="W18" s="234">
        <v>0.22075211521209853</v>
      </c>
      <c r="X18" s="234">
        <v>2.5454666369643414E-2</v>
      </c>
      <c r="Y18" s="234">
        <v>0.25991973144770242</v>
      </c>
      <c r="Z18" s="234">
        <v>0.2089310368269045</v>
      </c>
      <c r="AA18" s="234">
        <v>0.11420414891099215</v>
      </c>
      <c r="AB18" s="234">
        <v>0.12542237514020746</v>
      </c>
      <c r="AC18" s="234">
        <v>0.14612450690664655</v>
      </c>
      <c r="AD18" s="234">
        <v>0.21923047940164159</v>
      </c>
      <c r="AE18" s="234">
        <v>0.20239536472094288</v>
      </c>
      <c r="AF18" s="234">
        <v>0.16005350925215947</v>
      </c>
      <c r="AG18" s="234">
        <v>0.13486866386515911</v>
      </c>
      <c r="AH18" s="234">
        <v>0.12027526843904608</v>
      </c>
      <c r="AI18" s="234">
        <v>0.15385232280095879</v>
      </c>
      <c r="AJ18" s="234">
        <v>0.15509907142542501</v>
      </c>
      <c r="AK18" s="234">
        <v>0.15764614471786395</v>
      </c>
    </row>
    <row r="19" spans="2:37" hidden="1" x14ac:dyDescent="0.25">
      <c r="B19" s="255" t="s">
        <v>1250</v>
      </c>
      <c r="C19" s="256" t="s">
        <v>92</v>
      </c>
      <c r="D19" s="234">
        <v>0.2372866652983025</v>
      </c>
      <c r="E19" s="234">
        <v>-8.8041709673894825E-2</v>
      </c>
      <c r="F19" s="234">
        <v>3.0970435484637031E-3</v>
      </c>
      <c r="G19" s="234">
        <v>2.0609224300893621E-2</v>
      </c>
      <c r="H19" s="234">
        <v>7.9723974491547431E-2</v>
      </c>
      <c r="I19" s="234">
        <v>1.9500866679235441E-2</v>
      </c>
      <c r="J19" s="234">
        <v>-6.7306244189600281E-2</v>
      </c>
      <c r="K19" s="234">
        <v>6.2939239205169764E-2</v>
      </c>
      <c r="L19" s="234">
        <v>0.36688011381374402</v>
      </c>
      <c r="M19" s="234">
        <v>0.48172640783550091</v>
      </c>
      <c r="N19" s="234">
        <v>1.6727925664019198E-2</v>
      </c>
      <c r="O19" s="234">
        <v>-4.0269841984395767E-2</v>
      </c>
      <c r="P19" s="234">
        <v>-6.3616375782400716E-2</v>
      </c>
      <c r="Q19" s="234">
        <v>2.2374923213223381E-2</v>
      </c>
      <c r="R19" s="234">
        <v>0.1548886587421002</v>
      </c>
      <c r="S19" s="234">
        <v>6.9415904493196526E-2</v>
      </c>
      <c r="T19" s="234">
        <v>-6.6188485347490209E-5</v>
      </c>
      <c r="U19" s="234">
        <v>-9.0665339181078053E-2</v>
      </c>
      <c r="V19" s="234">
        <v>0.10684696784323661</v>
      </c>
      <c r="W19" s="234">
        <v>8.2067839449351573E-2</v>
      </c>
      <c r="X19" s="234">
        <v>-0.13556737284640899</v>
      </c>
      <c r="Y19" s="234">
        <v>0.1134920874421112</v>
      </c>
      <c r="Z19" s="234">
        <v>5.5387273778141247E-2</v>
      </c>
      <c r="AA19" s="234">
        <v>2.4501688501233909E-3</v>
      </c>
      <c r="AB19" s="234">
        <v>-1.892031868393337E-2</v>
      </c>
      <c r="AC19" s="234">
        <v>2.7253081956697038E-4</v>
      </c>
      <c r="AD19" s="234">
        <v>8.2823330862956596E-2</v>
      </c>
      <c r="AE19" s="234">
        <v>6.0715773189785778E-2</v>
      </c>
      <c r="AF19" s="234">
        <v>2.873359996581908E-2</v>
      </c>
      <c r="AG19" s="234">
        <v>3.0176224354868671E-2</v>
      </c>
      <c r="AH19" s="234">
        <v>3.1228022719355659E-2</v>
      </c>
      <c r="AI19" s="234">
        <v>3.1648836520591833E-2</v>
      </c>
      <c r="AJ19" s="234">
        <v>3.2013120730785632E-2</v>
      </c>
      <c r="AK19" s="234">
        <v>3.2210497014011311E-2</v>
      </c>
    </row>
    <row r="20" spans="2:37" hidden="1" x14ac:dyDescent="0.25">
      <c r="B20" s="255" t="s">
        <v>1253</v>
      </c>
      <c r="C20" s="256" t="s">
        <v>92</v>
      </c>
      <c r="D20" s="234">
        <v>4.8218848229762837E-3</v>
      </c>
      <c r="E20" s="234">
        <v>4.8530797970494028E-3</v>
      </c>
      <c r="F20" s="234">
        <v>4.8842747711225591E-3</v>
      </c>
      <c r="G20" s="234">
        <v>4.9192590345108833E-3</v>
      </c>
      <c r="H20" s="234">
        <v>4.9542432978992067E-3</v>
      </c>
      <c r="I20" s="234">
        <v>4.9892275612875656E-3</v>
      </c>
      <c r="J20" s="234">
        <v>5.0242118246758899E-3</v>
      </c>
      <c r="K20" s="234">
        <v>5.0591960880642132E-3</v>
      </c>
      <c r="L20" s="234">
        <v>5.094180351452573E-3</v>
      </c>
      <c r="M20" s="234">
        <v>5.1291646148408964E-3</v>
      </c>
      <c r="N20" s="234">
        <v>5.164148878229257E-3</v>
      </c>
      <c r="O20" s="234">
        <v>5.1989860524905597E-3</v>
      </c>
      <c r="P20" s="234">
        <v>5.2338232267518632E-3</v>
      </c>
      <c r="Q20" s="234">
        <v>5.2686604010132032E-3</v>
      </c>
      <c r="R20" s="234">
        <v>5.3034975752745059E-3</v>
      </c>
      <c r="S20" s="234">
        <v>5.3383347495358459E-3</v>
      </c>
      <c r="T20" s="234">
        <v>5.3731719237971503E-3</v>
      </c>
      <c r="U20" s="234">
        <v>5.4080090980584902E-3</v>
      </c>
      <c r="V20" s="234">
        <v>5.4428462723197929E-3</v>
      </c>
      <c r="W20" s="234">
        <v>5.4776834465811329E-3</v>
      </c>
      <c r="X20" s="234">
        <v>5.5215232244189604E-3</v>
      </c>
      <c r="Y20" s="234">
        <v>5.5653630022567862E-3</v>
      </c>
      <c r="Z20" s="234">
        <v>5.6092027800946128E-3</v>
      </c>
      <c r="AA20" s="234">
        <v>5.6530425579324767E-3</v>
      </c>
      <c r="AB20" s="234">
        <v>5.6968823357703034E-3</v>
      </c>
      <c r="AC20" s="234">
        <v>5.74072211360813E-3</v>
      </c>
      <c r="AD20" s="234">
        <v>5.7845618914459567E-3</v>
      </c>
      <c r="AE20" s="234">
        <v>5.8284016692837833E-3</v>
      </c>
      <c r="AF20" s="234">
        <v>5.8284016692837833E-3</v>
      </c>
      <c r="AG20" s="234">
        <v>5.8284016692837833E-3</v>
      </c>
      <c r="AH20" s="234">
        <v>5.8284016692837833E-3</v>
      </c>
      <c r="AI20" s="234">
        <v>5.8284016692837833E-3</v>
      </c>
      <c r="AJ20" s="234">
        <v>5.8284016692837833E-3</v>
      </c>
      <c r="AK20" s="234">
        <v>5.8284016692837833E-3</v>
      </c>
    </row>
    <row r="21" spans="2:37" hidden="1" x14ac:dyDescent="0.25">
      <c r="B21" s="255" t="s">
        <v>1254</v>
      </c>
      <c r="C21" s="256" t="s">
        <v>92</v>
      </c>
      <c r="D21" s="234">
        <v>9.8138746073907369E-3</v>
      </c>
      <c r="E21" s="234">
        <v>9.8773650421841632E-3</v>
      </c>
      <c r="F21" s="234">
        <v>9.9408554769775531E-3</v>
      </c>
      <c r="G21" s="234">
        <v>1.001205816777785E-2</v>
      </c>
      <c r="H21" s="234">
        <v>1.008326085857816E-2</v>
      </c>
      <c r="I21" s="234">
        <v>1.015446354937846E-2</v>
      </c>
      <c r="J21" s="234">
        <v>1.0225666240178771E-2</v>
      </c>
      <c r="K21" s="234">
        <v>1.029686893097911E-2</v>
      </c>
      <c r="L21" s="234">
        <v>1.036807162177941E-2</v>
      </c>
      <c r="M21" s="234">
        <v>1.0439274312579711E-2</v>
      </c>
      <c r="N21" s="234">
        <v>1.0510477003380019E-2</v>
      </c>
      <c r="O21" s="234">
        <v>1.0581380326961549E-2</v>
      </c>
      <c r="P21" s="234">
        <v>1.065228365054308E-2</v>
      </c>
      <c r="Q21" s="234">
        <v>1.0723186974124639E-2</v>
      </c>
      <c r="R21" s="234">
        <v>1.079409029770617E-2</v>
      </c>
      <c r="S21" s="234">
        <v>1.086499362128774E-2</v>
      </c>
      <c r="T21" s="234">
        <v>1.093589694486927E-2</v>
      </c>
      <c r="U21" s="234">
        <v>1.10068002684508E-2</v>
      </c>
      <c r="V21" s="234">
        <v>1.1077703592032371E-2</v>
      </c>
      <c r="W21" s="234">
        <v>1.1148606915613901E-2</v>
      </c>
      <c r="X21" s="234">
        <v>1.123783303741307E-2</v>
      </c>
      <c r="Y21" s="234">
        <v>1.132705915921221E-2</v>
      </c>
      <c r="Z21" s="234">
        <v>1.1416285281011339E-2</v>
      </c>
      <c r="AA21" s="234">
        <v>1.1505511402810521E-2</v>
      </c>
      <c r="AB21" s="234">
        <v>1.159473752460965E-2</v>
      </c>
      <c r="AC21" s="234">
        <v>1.168396364640883E-2</v>
      </c>
      <c r="AD21" s="234">
        <v>1.1773189768207961E-2</v>
      </c>
      <c r="AE21" s="234">
        <v>1.18624158900071E-2</v>
      </c>
      <c r="AF21" s="234">
        <v>1.18624158900071E-2</v>
      </c>
      <c r="AG21" s="234">
        <v>1.18624158900071E-2</v>
      </c>
      <c r="AH21" s="234">
        <v>1.18624158900071E-2</v>
      </c>
      <c r="AI21" s="234">
        <v>1.18624158900071E-2</v>
      </c>
      <c r="AJ21" s="234">
        <v>1.186241589000714E-2</v>
      </c>
      <c r="AK21" s="234">
        <v>1.186241589000714E-2</v>
      </c>
    </row>
    <row r="22" spans="2:37" hidden="1" x14ac:dyDescent="0.25">
      <c r="B22" s="255" t="s">
        <v>1255</v>
      </c>
      <c r="C22" s="256" t="s">
        <v>92</v>
      </c>
      <c r="D22" s="234">
        <v>1.0941467987101151E-2</v>
      </c>
      <c r="E22" s="234">
        <v>1.1012253338205611E-2</v>
      </c>
      <c r="F22" s="234">
        <v>1.108303868931006E-2</v>
      </c>
      <c r="G22" s="234">
        <v>1.116242241828091E-2</v>
      </c>
      <c r="H22" s="234">
        <v>1.1241806147251751E-2</v>
      </c>
      <c r="I22" s="234">
        <v>1.13211898762226E-2</v>
      </c>
      <c r="J22" s="234">
        <v>1.140057360519345E-2</v>
      </c>
      <c r="K22" s="234">
        <v>1.1479957334164291E-2</v>
      </c>
      <c r="L22" s="234">
        <v>1.155934106313514E-2</v>
      </c>
      <c r="M22" s="234">
        <v>1.163872479210599E-2</v>
      </c>
      <c r="N22" s="234">
        <v>1.1718108521076831E-2</v>
      </c>
      <c r="O22" s="234">
        <v>1.1797158486170351E-2</v>
      </c>
      <c r="P22" s="234">
        <v>1.18762084512639E-2</v>
      </c>
      <c r="Q22" s="234">
        <v>1.195525841635744E-2</v>
      </c>
      <c r="R22" s="234">
        <v>1.203430838145096E-2</v>
      </c>
      <c r="S22" s="234">
        <v>1.211335834654447E-2</v>
      </c>
      <c r="T22" s="234">
        <v>1.2192408311638019E-2</v>
      </c>
      <c r="U22" s="234">
        <v>1.2271458276731571E-2</v>
      </c>
      <c r="V22" s="234">
        <v>1.2350508241825091E-2</v>
      </c>
      <c r="W22" s="234">
        <v>1.242955820691864E-2</v>
      </c>
      <c r="X22" s="234">
        <v>1.252903622088708E-2</v>
      </c>
      <c r="Y22" s="234">
        <v>1.262851423485553E-2</v>
      </c>
      <c r="Z22" s="234">
        <v>1.2727992248823979E-2</v>
      </c>
      <c r="AA22" s="234">
        <v>1.282747026279242E-2</v>
      </c>
      <c r="AB22" s="234">
        <v>1.292694827676087E-2</v>
      </c>
      <c r="AC22" s="234">
        <v>1.302642629072932E-2</v>
      </c>
      <c r="AD22" s="234">
        <v>1.3125904304697761E-2</v>
      </c>
      <c r="AE22" s="234">
        <v>1.3225382318666211E-2</v>
      </c>
      <c r="AF22" s="234">
        <v>1.3225382318666211E-2</v>
      </c>
      <c r="AG22" s="234">
        <v>1.3225382318666211E-2</v>
      </c>
      <c r="AH22" s="234">
        <v>1.3225382318666211E-2</v>
      </c>
      <c r="AI22" s="234">
        <v>1.3225382318666211E-2</v>
      </c>
      <c r="AJ22" s="234">
        <v>1.3225382318666211E-2</v>
      </c>
      <c r="AK22" s="234">
        <v>1.3225382318666211E-2</v>
      </c>
    </row>
    <row r="23" spans="2:37" hidden="1" x14ac:dyDescent="0.25">
      <c r="B23" s="255" t="s">
        <v>1251</v>
      </c>
      <c r="C23" s="256" t="s">
        <v>92</v>
      </c>
      <c r="D23" s="234">
        <v>0.302914117165</v>
      </c>
      <c r="E23" s="234">
        <v>0.33104698953700001</v>
      </c>
      <c r="F23" s="234">
        <v>0.22158519097000001</v>
      </c>
      <c r="G23" s="234">
        <v>0.25757922847726672</v>
      </c>
      <c r="H23" s="234">
        <v>0.20371144810426661</v>
      </c>
      <c r="I23" s="234">
        <v>0.27333696311643341</v>
      </c>
      <c r="J23" s="234">
        <v>0.30480620123066671</v>
      </c>
      <c r="K23" s="234">
        <v>0.26019878415629999</v>
      </c>
      <c r="L23" s="234">
        <v>0.18011675061233329</v>
      </c>
      <c r="M23" s="234">
        <v>0.20052630068899999</v>
      </c>
      <c r="N23" s="234">
        <v>0.15166368680906669</v>
      </c>
      <c r="O23" s="234">
        <v>0.13678593883240001</v>
      </c>
      <c r="P23" s="234">
        <v>0.17706925088379999</v>
      </c>
      <c r="Q23" s="234">
        <v>0.13897387673033329</v>
      </c>
      <c r="R23" s="234">
        <v>0.1279573344617333</v>
      </c>
      <c r="S23" s="234">
        <v>0.14577868127485669</v>
      </c>
      <c r="T23" s="234">
        <v>0.137645733071</v>
      </c>
      <c r="U23" s="234">
        <v>7.586470598666667E-2</v>
      </c>
      <c r="V23" s="234">
        <v>0.14110265914433329</v>
      </c>
      <c r="W23" s="234">
        <v>0.1096284271936333</v>
      </c>
      <c r="X23" s="234">
        <v>0.13173364673333329</v>
      </c>
      <c r="Y23" s="234">
        <v>0.11690670760926671</v>
      </c>
      <c r="Z23" s="234">
        <v>0.1237902827388333</v>
      </c>
      <c r="AA23" s="234">
        <v>8.1767955837333331E-2</v>
      </c>
      <c r="AB23" s="234">
        <v>0.11412412568700001</v>
      </c>
      <c r="AC23" s="234">
        <v>0.1154008640363333</v>
      </c>
      <c r="AD23" s="234">
        <v>0.10572349257433331</v>
      </c>
      <c r="AE23" s="234">
        <v>0.1107633916532</v>
      </c>
      <c r="AF23" s="234">
        <v>0.10040370940838329</v>
      </c>
      <c r="AG23" s="234">
        <v>7.3776239632333332E-2</v>
      </c>
      <c r="AH23" s="234">
        <v>5.8131045841733328E-2</v>
      </c>
      <c r="AI23" s="234">
        <v>9.1287286402409865E-2</v>
      </c>
      <c r="AJ23" s="234">
        <v>9.2169750816682244E-2</v>
      </c>
      <c r="AK23" s="234">
        <v>9.4519447825895511E-2</v>
      </c>
    </row>
    <row r="24" spans="2:37" hidden="1" x14ac:dyDescent="0.25">
      <c r="B24" s="259" t="s">
        <v>1258</v>
      </c>
      <c r="C24" s="256" t="s">
        <v>535</v>
      </c>
      <c r="D24" s="234">
        <v>-1.4623876666666671E-3</v>
      </c>
      <c r="E24" s="234">
        <v>-1.3692712439468038E-2</v>
      </c>
      <c r="F24" s="234">
        <v>-2.9085980000000001E-3</v>
      </c>
      <c r="G24" s="234">
        <v>-7.0412327316277494E-3</v>
      </c>
      <c r="H24" s="234">
        <v>-1.3698689796217068E-2</v>
      </c>
      <c r="I24" s="234">
        <v>-1.8879492174992719E-2</v>
      </c>
      <c r="J24" s="234">
        <v>-6.902742333413924E-3</v>
      </c>
      <c r="K24" s="234">
        <v>-1.270925333333333E-2</v>
      </c>
      <c r="L24" s="234">
        <v>-1.2494301367380299E-2</v>
      </c>
      <c r="M24" s="234">
        <v>-1.6916306288182841E-2</v>
      </c>
      <c r="N24" s="234">
        <v>-2.5433920075244261E-2</v>
      </c>
      <c r="O24" s="234">
        <v>-1.2394442001753313E-2</v>
      </c>
      <c r="P24" s="234">
        <v>-1.7077976666666671E-2</v>
      </c>
      <c r="Q24" s="234">
        <v>-1.3267195666747254E-2</v>
      </c>
      <c r="R24" s="234">
        <v>-1.7142546666666661E-2</v>
      </c>
      <c r="S24" s="234">
        <v>-1.7393566666666669E-2</v>
      </c>
      <c r="T24" s="234">
        <v>-1.7393566666666669E-2</v>
      </c>
      <c r="U24" s="234">
        <v>-1.7393566666666669E-2</v>
      </c>
      <c r="V24" s="234">
        <v>-1.8109528750446257E-2</v>
      </c>
      <c r="W24" s="234">
        <v>-1.6425200000000001E-2</v>
      </c>
      <c r="X24" s="234">
        <v>-3.2671182028373505E-3</v>
      </c>
      <c r="Y24" s="234">
        <v>-1.9339768841659381E-2</v>
      </c>
      <c r="Z24" s="234">
        <v>-1.2091933333333331E-2</v>
      </c>
      <c r="AA24" s="234">
        <v>-1.0176613333333331E-2</v>
      </c>
      <c r="AB24" s="234">
        <v>-1.2395013658661462E-2</v>
      </c>
      <c r="AC24" s="234">
        <v>-7.6943899999999989E-3</v>
      </c>
      <c r="AD24" s="234">
        <v>-7.6943899999999989E-3</v>
      </c>
      <c r="AE24" s="234">
        <v>-7.6943899999999989E-3</v>
      </c>
      <c r="AF24" s="234">
        <v>-5.9613033333333334E-3</v>
      </c>
      <c r="AG24" s="234">
        <v>-4.2525266666666667E-3</v>
      </c>
      <c r="AH24" s="234">
        <v>0</v>
      </c>
      <c r="AI24" s="234">
        <v>-2.458253522162732E-3</v>
      </c>
      <c r="AJ24" s="234">
        <v>-2.4099954861026671E-3</v>
      </c>
      <c r="AK24" s="234">
        <v>-2.419777533835675E-3</v>
      </c>
    </row>
    <row r="25" spans="2:37" hidden="1" x14ac:dyDescent="0.25">
      <c r="B25" s="255" t="s">
        <v>1250</v>
      </c>
      <c r="C25" s="256" t="s">
        <v>92</v>
      </c>
      <c r="D25" s="234">
        <v>0</v>
      </c>
      <c r="E25" s="234">
        <v>-1.044281377280137E-2</v>
      </c>
      <c r="F25" s="234">
        <v>0</v>
      </c>
      <c r="G25" s="234">
        <v>-2.1317127316277502E-3</v>
      </c>
      <c r="H25" s="234">
        <v>-6.2895297962170674E-3</v>
      </c>
      <c r="I25" s="234">
        <v>-7.2478355083260499E-3</v>
      </c>
      <c r="J25" s="234">
        <v>4.9402976665860769E-3</v>
      </c>
      <c r="K25" s="234">
        <v>0</v>
      </c>
      <c r="L25" s="234">
        <v>-2.2858613673803008E-3</v>
      </c>
      <c r="M25" s="234">
        <v>-3.83708628818284E-3</v>
      </c>
      <c r="N25" s="234">
        <v>-8.4212467419109323E-3</v>
      </c>
      <c r="O25" s="234">
        <v>5.2802479982466868E-3</v>
      </c>
      <c r="P25" s="234">
        <v>0</v>
      </c>
      <c r="Q25" s="234">
        <v>4.9402976665860769E-3</v>
      </c>
      <c r="R25" s="234">
        <v>0</v>
      </c>
      <c r="S25" s="234">
        <v>0</v>
      </c>
      <c r="T25" s="234">
        <v>0</v>
      </c>
      <c r="U25" s="234">
        <v>0</v>
      </c>
      <c r="V25" s="234">
        <v>-1.3600120837795871E-3</v>
      </c>
      <c r="W25" s="234">
        <v>0</v>
      </c>
      <c r="X25" s="234">
        <v>1.0739951797162649E-2</v>
      </c>
      <c r="Y25" s="234">
        <v>-7.2478355083260499E-3</v>
      </c>
      <c r="Z25" s="234">
        <v>0</v>
      </c>
      <c r="AA25" s="234">
        <v>0</v>
      </c>
      <c r="AB25" s="234">
        <v>-3.480943658661462E-3</v>
      </c>
      <c r="AC25" s="234">
        <v>0</v>
      </c>
      <c r="AD25" s="234">
        <v>0</v>
      </c>
      <c r="AE25" s="234">
        <v>0</v>
      </c>
      <c r="AF25" s="234">
        <v>0</v>
      </c>
      <c r="AG25" s="234">
        <v>0</v>
      </c>
      <c r="AH25" s="234">
        <v>0</v>
      </c>
      <c r="AI25" s="234">
        <v>0</v>
      </c>
      <c r="AJ25" s="234">
        <v>0</v>
      </c>
      <c r="AK25" s="234">
        <v>0</v>
      </c>
    </row>
    <row r="26" spans="2:37" hidden="1" x14ac:dyDescent="0.25">
      <c r="B26" s="255" t="s">
        <v>1251</v>
      </c>
      <c r="C26" s="256" t="s">
        <v>92</v>
      </c>
      <c r="D26" s="234">
        <v>-1.4623876666666671E-3</v>
      </c>
      <c r="E26" s="234">
        <v>-3.2498986666666669E-3</v>
      </c>
      <c r="F26" s="234">
        <v>-2.9085980000000001E-3</v>
      </c>
      <c r="G26" s="234">
        <v>-4.9095199999999997E-3</v>
      </c>
      <c r="H26" s="234">
        <v>-7.4091599999999997E-3</v>
      </c>
      <c r="I26" s="234">
        <v>-1.163165666666667E-2</v>
      </c>
      <c r="J26" s="234">
        <v>-1.1843040000000001E-2</v>
      </c>
      <c r="K26" s="234">
        <v>-1.270925333333333E-2</v>
      </c>
      <c r="L26" s="234">
        <v>-1.0208439999999999E-2</v>
      </c>
      <c r="M26" s="234">
        <v>-1.3079220000000001E-2</v>
      </c>
      <c r="N26" s="234">
        <v>-1.7012673333333329E-2</v>
      </c>
      <c r="O26" s="234">
        <v>-1.767469E-2</v>
      </c>
      <c r="P26" s="234">
        <v>-1.7077976666666671E-2</v>
      </c>
      <c r="Q26" s="234">
        <v>-1.8207493333333331E-2</v>
      </c>
      <c r="R26" s="234">
        <v>-1.7142546666666661E-2</v>
      </c>
      <c r="S26" s="234">
        <v>-1.7393566666666669E-2</v>
      </c>
      <c r="T26" s="234">
        <v>-1.7393566666666669E-2</v>
      </c>
      <c r="U26" s="234">
        <v>-1.7393566666666669E-2</v>
      </c>
      <c r="V26" s="234">
        <v>-1.6749516666666669E-2</v>
      </c>
      <c r="W26" s="234">
        <v>-1.6425200000000001E-2</v>
      </c>
      <c r="X26" s="234">
        <v>-1.400707E-2</v>
      </c>
      <c r="Y26" s="234">
        <v>-1.2091933333333331E-2</v>
      </c>
      <c r="Z26" s="234">
        <v>-1.2091933333333331E-2</v>
      </c>
      <c r="AA26" s="234">
        <v>-1.0176613333333331E-2</v>
      </c>
      <c r="AB26" s="234">
        <v>-8.9140699999999996E-3</v>
      </c>
      <c r="AC26" s="234">
        <v>-7.6943899999999989E-3</v>
      </c>
      <c r="AD26" s="234">
        <v>-7.6943899999999989E-3</v>
      </c>
      <c r="AE26" s="234">
        <v>-7.6943899999999989E-3</v>
      </c>
      <c r="AF26" s="234">
        <v>-5.9613033333333334E-3</v>
      </c>
      <c r="AG26" s="234">
        <v>-4.2525266666666667E-3</v>
      </c>
      <c r="AH26" s="234">
        <v>0</v>
      </c>
      <c r="AI26" s="234">
        <v>-2.458253522162732E-3</v>
      </c>
      <c r="AJ26" s="234">
        <v>-2.4099954861026671E-3</v>
      </c>
      <c r="AK26" s="234">
        <v>-2.419777533835675E-3</v>
      </c>
    </row>
    <row r="27" spans="2:37" hidden="1" x14ac:dyDescent="0.25">
      <c r="B27" s="259" t="s">
        <v>1259</v>
      </c>
      <c r="C27" s="256" t="s">
        <v>535</v>
      </c>
      <c r="D27" s="234">
        <v>0</v>
      </c>
      <c r="E27" s="234">
        <v>0</v>
      </c>
      <c r="F27" s="234">
        <v>0</v>
      </c>
      <c r="G27" s="234">
        <v>0</v>
      </c>
      <c r="H27" s="234">
        <v>0</v>
      </c>
      <c r="I27" s="234">
        <v>0</v>
      </c>
      <c r="J27" s="234">
        <v>0</v>
      </c>
      <c r="K27" s="234">
        <v>0</v>
      </c>
      <c r="L27" s="234">
        <v>-9.1214874494420961E-4</v>
      </c>
      <c r="M27" s="234">
        <v>-6.0346680017850233E-4</v>
      </c>
      <c r="N27" s="234">
        <v>4.9936587063052437E-4</v>
      </c>
      <c r="O27" s="234">
        <v>-6.0759337600405398E-4</v>
      </c>
      <c r="P27" s="234">
        <v>3.9693983830256074E-4</v>
      </c>
      <c r="Q27" s="234">
        <v>-1.0785401396131524E-3</v>
      </c>
      <c r="R27" s="234">
        <v>-1.1487602364009858E-3</v>
      </c>
      <c r="S27" s="234">
        <v>-1.4712426666666669E-4</v>
      </c>
      <c r="T27" s="234">
        <v>5.5995217495672018E-4</v>
      </c>
      <c r="U27" s="234">
        <v>-2.8765073333333332E-4</v>
      </c>
      <c r="V27" s="234">
        <v>-1.9418183701630079E-2</v>
      </c>
      <c r="W27" s="234">
        <v>-1.491589E-3</v>
      </c>
      <c r="X27" s="234">
        <v>-1.4366330000000001E-3</v>
      </c>
      <c r="Y27" s="234">
        <v>-1.5872350707444919E-2</v>
      </c>
      <c r="Z27" s="234">
        <v>-9.5018613715684198E-4</v>
      </c>
      <c r="AA27" s="234">
        <v>-4.7879641418205218E-4</v>
      </c>
      <c r="AB27" s="234">
        <v>9.9727307068076566E-3</v>
      </c>
      <c r="AC27" s="234">
        <v>-1.5089039604741336E-3</v>
      </c>
      <c r="AD27" s="234">
        <v>-1.1964334867222283E-3</v>
      </c>
      <c r="AE27" s="234">
        <v>-4.2055343267670114E-3</v>
      </c>
      <c r="AF27" s="234">
        <v>-9.845528566796994E-3</v>
      </c>
      <c r="AG27" s="234">
        <v>-1.0178630223487145E-2</v>
      </c>
      <c r="AH27" s="234">
        <v>-1.0287385307024544E-2</v>
      </c>
      <c r="AI27" s="234">
        <v>-1.0704843835120496E-2</v>
      </c>
      <c r="AJ27" s="234">
        <v>-1.068078082363887E-2</v>
      </c>
      <c r="AK27" s="234">
        <v>-1.0654564869553577E-2</v>
      </c>
    </row>
    <row r="28" spans="2:37" hidden="1" x14ac:dyDescent="0.25">
      <c r="B28" s="255" t="s">
        <v>1250</v>
      </c>
      <c r="C28" s="256" t="s">
        <v>92</v>
      </c>
      <c r="D28" s="234">
        <v>0</v>
      </c>
      <c r="E28" s="234">
        <v>0</v>
      </c>
      <c r="F28" s="234">
        <v>0</v>
      </c>
      <c r="G28" s="234">
        <v>0</v>
      </c>
      <c r="H28" s="234">
        <v>0</v>
      </c>
      <c r="I28" s="234">
        <v>0</v>
      </c>
      <c r="J28" s="234">
        <v>0</v>
      </c>
      <c r="K28" s="234">
        <v>0</v>
      </c>
      <c r="L28" s="234">
        <v>-8.5268677827754296E-4</v>
      </c>
      <c r="M28" s="234">
        <v>-5.4400483351183567E-4</v>
      </c>
      <c r="N28" s="234">
        <v>5.5882783729719102E-4</v>
      </c>
      <c r="O28" s="234">
        <v>-5.4930180933738734E-4</v>
      </c>
      <c r="P28" s="234">
        <v>5.1018850496922742E-4</v>
      </c>
      <c r="Q28" s="234">
        <v>-8.7451837294648567E-4</v>
      </c>
      <c r="R28" s="234">
        <v>-9.7083963640098576E-4</v>
      </c>
      <c r="S28" s="234">
        <v>0</v>
      </c>
      <c r="T28" s="234">
        <v>6.8143764162338692E-4</v>
      </c>
      <c r="U28" s="234">
        <v>0</v>
      </c>
      <c r="V28" s="234">
        <v>-1.7906409701630079E-2</v>
      </c>
      <c r="W28" s="234">
        <v>0</v>
      </c>
      <c r="X28" s="234">
        <v>0</v>
      </c>
      <c r="Y28" s="234">
        <v>-1.4322736707444919E-2</v>
      </c>
      <c r="Z28" s="234">
        <v>-1.4692947049017529E-4</v>
      </c>
      <c r="AA28" s="234">
        <v>2.5509425248461441E-4</v>
      </c>
      <c r="AB28" s="234">
        <v>1.0713951040140991E-2</v>
      </c>
      <c r="AC28" s="234">
        <v>-7.0099429380746699E-4</v>
      </c>
      <c r="AD28" s="234">
        <v>-5.2198820055561303E-5</v>
      </c>
      <c r="AE28" s="234">
        <v>-2.217126660100344E-3</v>
      </c>
      <c r="AF28" s="234">
        <v>-6.0295233463662232E-5</v>
      </c>
      <c r="AG28" s="234">
        <v>-4.2482022348714412E-4</v>
      </c>
      <c r="AH28" s="234">
        <v>-5.0288530702454393E-4</v>
      </c>
      <c r="AI28" s="234">
        <v>-5.2728909080067656E-4</v>
      </c>
      <c r="AJ28" s="234">
        <v>-5.3458194468759986E-4</v>
      </c>
      <c r="AK28" s="234">
        <v>-5.3722618147361762E-4</v>
      </c>
    </row>
    <row r="29" spans="2:37" hidden="1" x14ac:dyDescent="0.25">
      <c r="B29" s="255" t="s">
        <v>1251</v>
      </c>
      <c r="C29" s="256" t="s">
        <v>92</v>
      </c>
      <c r="D29" s="234">
        <v>0</v>
      </c>
      <c r="E29" s="234">
        <v>0</v>
      </c>
      <c r="F29" s="234">
        <v>0</v>
      </c>
      <c r="G29" s="234">
        <v>0</v>
      </c>
      <c r="H29" s="234">
        <v>0</v>
      </c>
      <c r="I29" s="234">
        <v>0</v>
      </c>
      <c r="J29" s="234">
        <v>0</v>
      </c>
      <c r="K29" s="234">
        <v>0</v>
      </c>
      <c r="L29" s="234">
        <v>-5.9461966666666668E-5</v>
      </c>
      <c r="M29" s="234">
        <v>-5.9461966666666668E-5</v>
      </c>
      <c r="N29" s="234">
        <v>-5.9461966666666668E-5</v>
      </c>
      <c r="O29" s="234">
        <v>-5.8291566666666663E-5</v>
      </c>
      <c r="P29" s="234">
        <v>-1.1324866666666671E-4</v>
      </c>
      <c r="Q29" s="234">
        <v>-2.0402176666666671E-4</v>
      </c>
      <c r="R29" s="234">
        <v>-1.7792059999999999E-4</v>
      </c>
      <c r="S29" s="234">
        <v>-1.4712426666666669E-4</v>
      </c>
      <c r="T29" s="234">
        <v>-1.214854666666667E-4</v>
      </c>
      <c r="U29" s="234">
        <v>-2.8765073333333332E-4</v>
      </c>
      <c r="V29" s="234">
        <v>-1.511774E-3</v>
      </c>
      <c r="W29" s="234">
        <v>-1.491589E-3</v>
      </c>
      <c r="X29" s="234">
        <v>-1.4366330000000001E-3</v>
      </c>
      <c r="Y29" s="234">
        <v>-1.5496139999999999E-3</v>
      </c>
      <c r="Z29" s="234">
        <v>-8.0325666666666666E-4</v>
      </c>
      <c r="AA29" s="234">
        <v>-7.338906666666666E-4</v>
      </c>
      <c r="AB29" s="234">
        <v>-7.4122033333333327E-4</v>
      </c>
      <c r="AC29" s="234">
        <v>-8.0790966666666663E-4</v>
      </c>
      <c r="AD29" s="234">
        <v>-1.144234666666667E-3</v>
      </c>
      <c r="AE29" s="234">
        <v>-1.9884076666666669E-3</v>
      </c>
      <c r="AF29" s="234">
        <v>-9.7852333333333322E-3</v>
      </c>
      <c r="AG29" s="234">
        <v>-9.7538099999999999E-3</v>
      </c>
      <c r="AH29" s="234">
        <v>-9.7844999999999998E-3</v>
      </c>
      <c r="AI29" s="234">
        <v>-1.0177554744319819E-2</v>
      </c>
      <c r="AJ29" s="234">
        <v>-1.014619887895127E-2</v>
      </c>
      <c r="AK29" s="234">
        <v>-1.0117338688079959E-2</v>
      </c>
    </row>
    <row r="30" spans="2:37" hidden="1" x14ac:dyDescent="0.25">
      <c r="B30" s="259" t="s">
        <v>1260</v>
      </c>
      <c r="C30" s="256" t="s">
        <v>535</v>
      </c>
      <c r="D30" s="234">
        <v>-5.4864640981295166E-4</v>
      </c>
      <c r="E30" s="234">
        <v>5.6518442866463898E-4</v>
      </c>
      <c r="F30" s="234">
        <v>4.1844733333333328E-4</v>
      </c>
      <c r="G30" s="234">
        <v>-1.1330342223939641E-3</v>
      </c>
      <c r="H30" s="234">
        <v>-2.6351831610076856E-3</v>
      </c>
      <c r="I30" s="234">
        <v>6.7094511368826306E-4</v>
      </c>
      <c r="J30" s="234">
        <v>7.7866883862018159E-4</v>
      </c>
      <c r="K30" s="234">
        <v>-9.3241919260245512E-4</v>
      </c>
      <c r="L30" s="234">
        <v>7.8427351066617298E-3</v>
      </c>
      <c r="M30" s="234">
        <v>6.0456733333333335E-4</v>
      </c>
      <c r="N30" s="234">
        <v>5.7646599999999998E-4</v>
      </c>
      <c r="O30" s="234">
        <v>-6.5554617087506071E-3</v>
      </c>
      <c r="P30" s="234">
        <v>1.179214666666667E-3</v>
      </c>
      <c r="Q30" s="234">
        <v>1.5020579191512813E-3</v>
      </c>
      <c r="R30" s="234">
        <v>1.1563713333333329E-3</v>
      </c>
      <c r="S30" s="234">
        <v>9.0536966666666669E-4</v>
      </c>
      <c r="T30" s="234">
        <v>7.9682080778736685E-3</v>
      </c>
      <c r="U30" s="234">
        <v>-4.8997134022231272E-3</v>
      </c>
      <c r="V30" s="234">
        <v>1.0115983949485662E-2</v>
      </c>
      <c r="W30" s="234">
        <v>3.3431823333333329E-4</v>
      </c>
      <c r="X30" s="234">
        <v>-1.0386879764796182E-3</v>
      </c>
      <c r="Y30" s="234">
        <v>3.5368776666666672E-4</v>
      </c>
      <c r="Z30" s="234">
        <v>1.8272945382786555E-3</v>
      </c>
      <c r="AA30" s="234">
        <v>-1.5953655989517216E-3</v>
      </c>
      <c r="AB30" s="234">
        <v>8.4212699999999994E-5</v>
      </c>
      <c r="AC30" s="234">
        <v>8.4212699999999994E-5</v>
      </c>
      <c r="AD30" s="234">
        <v>8.4212699999999994E-5</v>
      </c>
      <c r="AE30" s="234">
        <v>-1.009635E-4</v>
      </c>
      <c r="AF30" s="234">
        <v>-1.009635E-4</v>
      </c>
      <c r="AG30" s="234">
        <v>-1.009635E-4</v>
      </c>
      <c r="AH30" s="234">
        <v>-1.009635E-4</v>
      </c>
      <c r="AI30" s="234">
        <v>-8.8009551888256494E-5</v>
      </c>
      <c r="AJ30" s="234">
        <v>-9.1182166341117416E-5</v>
      </c>
      <c r="AK30" s="234">
        <v>-9.0248347135685737E-5</v>
      </c>
    </row>
    <row r="31" spans="2:37" hidden="1" x14ac:dyDescent="0.25">
      <c r="B31" s="255" t="s">
        <v>1250</v>
      </c>
      <c r="C31" s="256" t="s">
        <v>92</v>
      </c>
      <c r="D31" s="234">
        <v>-1.3923757431462849E-3</v>
      </c>
      <c r="E31" s="234">
        <v>-2.7465090466869438E-4</v>
      </c>
      <c r="F31" s="234">
        <v>0</v>
      </c>
      <c r="G31" s="234">
        <v>-1.8334702223939639E-3</v>
      </c>
      <c r="H31" s="234">
        <v>-3.8758548276743529E-3</v>
      </c>
      <c r="I31" s="234">
        <v>-6.9883721964507004E-4</v>
      </c>
      <c r="J31" s="234">
        <v>-5.4400416137981831E-4</v>
      </c>
      <c r="K31" s="234">
        <v>-2.0385865259357882E-3</v>
      </c>
      <c r="L31" s="234">
        <v>7.2071074399950629E-3</v>
      </c>
      <c r="M31" s="234">
        <v>0</v>
      </c>
      <c r="N31" s="234">
        <v>0</v>
      </c>
      <c r="O31" s="234">
        <v>-7.8145730420839405E-3</v>
      </c>
      <c r="P31" s="234">
        <v>0</v>
      </c>
      <c r="Q31" s="234">
        <v>2.5509425248461441E-4</v>
      </c>
      <c r="R31" s="234">
        <v>0</v>
      </c>
      <c r="S31" s="234">
        <v>0</v>
      </c>
      <c r="T31" s="234">
        <v>7.0575730778736686E-3</v>
      </c>
      <c r="U31" s="234">
        <v>-6.1135157355564603E-3</v>
      </c>
      <c r="V31" s="234">
        <v>8.4690859494856632E-3</v>
      </c>
      <c r="W31" s="234">
        <v>0</v>
      </c>
      <c r="X31" s="234">
        <v>-1.3923757431462849E-3</v>
      </c>
      <c r="Y31" s="234">
        <v>0</v>
      </c>
      <c r="Z31" s="234">
        <v>1.4115128716119889E-3</v>
      </c>
      <c r="AA31" s="234">
        <v>-1.818719132285055E-3</v>
      </c>
      <c r="AB31" s="234">
        <v>0</v>
      </c>
      <c r="AC31" s="234">
        <v>0</v>
      </c>
      <c r="AD31" s="234">
        <v>0</v>
      </c>
      <c r="AE31" s="234">
        <v>0</v>
      </c>
      <c r="AF31" s="234">
        <v>0</v>
      </c>
      <c r="AG31" s="234">
        <v>0</v>
      </c>
      <c r="AH31" s="234">
        <v>0</v>
      </c>
      <c r="AI31" s="234">
        <v>0</v>
      </c>
      <c r="AJ31" s="234">
        <v>0</v>
      </c>
      <c r="AK31" s="234">
        <v>0</v>
      </c>
    </row>
    <row r="32" spans="2:37" hidden="1" x14ac:dyDescent="0.25">
      <c r="B32" s="255" t="s">
        <v>1251</v>
      </c>
      <c r="C32" s="256" t="s">
        <v>92</v>
      </c>
      <c r="D32" s="234">
        <v>8.4372933333333325E-4</v>
      </c>
      <c r="E32" s="234">
        <v>8.3983533333333331E-4</v>
      </c>
      <c r="F32" s="234">
        <v>4.1844733333333328E-4</v>
      </c>
      <c r="G32" s="234">
        <v>7.0043599999999992E-4</v>
      </c>
      <c r="H32" s="234">
        <v>1.240671666666667E-3</v>
      </c>
      <c r="I32" s="234">
        <v>1.3697823333333331E-3</v>
      </c>
      <c r="J32" s="234">
        <v>1.3226729999999999E-3</v>
      </c>
      <c r="K32" s="234">
        <v>1.1061673333333331E-3</v>
      </c>
      <c r="L32" s="234">
        <v>6.3562766666666669E-4</v>
      </c>
      <c r="M32" s="234">
        <v>6.0456733333333335E-4</v>
      </c>
      <c r="N32" s="234">
        <v>5.7646599999999998E-4</v>
      </c>
      <c r="O32" s="234">
        <v>1.259111333333333E-3</v>
      </c>
      <c r="P32" s="234">
        <v>1.179214666666667E-3</v>
      </c>
      <c r="Q32" s="234">
        <v>1.246963666666667E-3</v>
      </c>
      <c r="R32" s="234">
        <v>1.1563713333333329E-3</v>
      </c>
      <c r="S32" s="234">
        <v>9.0536966666666669E-4</v>
      </c>
      <c r="T32" s="234">
        <v>9.1063500000000003E-4</v>
      </c>
      <c r="U32" s="234">
        <v>1.2138023333333331E-3</v>
      </c>
      <c r="V32" s="234">
        <v>1.6468979999999999E-3</v>
      </c>
      <c r="W32" s="234">
        <v>3.3431823333333329E-4</v>
      </c>
      <c r="X32" s="234">
        <v>3.5368776666666672E-4</v>
      </c>
      <c r="Y32" s="234">
        <v>3.5368776666666672E-4</v>
      </c>
      <c r="Z32" s="234">
        <v>4.1578166666666658E-4</v>
      </c>
      <c r="AA32" s="234">
        <v>2.2335353333333331E-4</v>
      </c>
      <c r="AB32" s="234">
        <v>8.4212699999999994E-5</v>
      </c>
      <c r="AC32" s="234">
        <v>8.4212699999999994E-5</v>
      </c>
      <c r="AD32" s="234">
        <v>8.4212699999999994E-5</v>
      </c>
      <c r="AE32" s="234">
        <v>-1.009635E-4</v>
      </c>
      <c r="AF32" s="234">
        <v>-1.009635E-4</v>
      </c>
      <c r="AG32" s="234">
        <v>-1.009635E-4</v>
      </c>
      <c r="AH32" s="234">
        <v>-1.009635E-4</v>
      </c>
      <c r="AI32" s="234">
        <v>-8.8009551888256494E-5</v>
      </c>
      <c r="AJ32" s="234">
        <v>-9.1182166341117416E-5</v>
      </c>
      <c r="AK32" s="234">
        <v>-9.0248347135685737E-5</v>
      </c>
    </row>
    <row r="33" spans="2:37" ht="15.75" x14ac:dyDescent="0.25">
      <c r="B33" s="260" t="s">
        <v>1074</v>
      </c>
      <c r="C33" s="261" t="s">
        <v>535</v>
      </c>
      <c r="D33" s="262">
        <v>6.8974293155584121</v>
      </c>
      <c r="E33" s="262">
        <v>8.7722754213869738</v>
      </c>
      <c r="F33" s="262">
        <v>6.6906850667382329</v>
      </c>
      <c r="G33" s="262">
        <v>5.7649363697852429</v>
      </c>
      <c r="H33" s="262">
        <v>5.6176115365587371</v>
      </c>
      <c r="I33" s="262">
        <v>6.4428226618243301</v>
      </c>
      <c r="J33" s="262">
        <v>7.5585845406019967</v>
      </c>
      <c r="K33" s="262">
        <v>8.1882694761292782</v>
      </c>
      <c r="L33" s="262">
        <v>5.357670777812932</v>
      </c>
      <c r="M33" s="262">
        <v>8.023105440372877</v>
      </c>
      <c r="N33" s="262">
        <v>4.6258923551327555</v>
      </c>
      <c r="O33" s="262">
        <v>4.9839908151010981</v>
      </c>
      <c r="P33" s="262">
        <v>7.2766057375368085</v>
      </c>
      <c r="Q33" s="262">
        <v>6.4864766198714516</v>
      </c>
      <c r="R33" s="262">
        <v>7.6300041278185677</v>
      </c>
      <c r="S33" s="262">
        <v>6.8925374603158565</v>
      </c>
      <c r="T33" s="262">
        <v>7.8042470399131991</v>
      </c>
      <c r="U33" s="262">
        <v>5.6921325847334057</v>
      </c>
      <c r="V33" s="262">
        <v>6.4504978623634042</v>
      </c>
      <c r="W33" s="262">
        <v>5.7368193890014805</v>
      </c>
      <c r="X33" s="262">
        <v>7.0611230768225575</v>
      </c>
      <c r="Y33" s="262">
        <v>5.0469633835330647</v>
      </c>
      <c r="Z33" s="262">
        <v>5.2307804081114337</v>
      </c>
      <c r="AA33" s="262">
        <v>6.5037325111529665</v>
      </c>
      <c r="AB33" s="262">
        <v>6.7389053340409975</v>
      </c>
      <c r="AC33" s="262">
        <v>7.8222443242344051</v>
      </c>
      <c r="AD33" s="262">
        <v>6.1468585988737461</v>
      </c>
      <c r="AE33" s="262">
        <v>7.5036649292490454</v>
      </c>
      <c r="AF33" s="262">
        <v>6.1347213463676766</v>
      </c>
      <c r="AG33" s="262">
        <v>5.2297925067453308</v>
      </c>
      <c r="AH33" s="262">
        <v>5.1925930107855027</v>
      </c>
      <c r="AI33" s="262">
        <v>2.8613076162097286</v>
      </c>
      <c r="AJ33" s="262">
        <v>3.3877181426981497</v>
      </c>
      <c r="AK33" s="262">
        <v>5.1060486033620265</v>
      </c>
    </row>
    <row r="34" spans="2:37" x14ac:dyDescent="0.25">
      <c r="B34" s="263" t="s">
        <v>1261</v>
      </c>
      <c r="C34" s="257" t="s">
        <v>535</v>
      </c>
      <c r="D34" s="233">
        <v>3.9185456102503449</v>
      </c>
      <c r="E34" s="233">
        <v>6.0175510834123127</v>
      </c>
      <c r="F34" s="233">
        <v>3.7708200609716083</v>
      </c>
      <c r="G34" s="233">
        <v>3.1557666108671114</v>
      </c>
      <c r="H34" s="233">
        <v>3.2230122747025609</v>
      </c>
      <c r="I34" s="233">
        <v>3.9068564257521543</v>
      </c>
      <c r="J34" s="233">
        <v>4.9873665461133054</v>
      </c>
      <c r="K34" s="233">
        <v>5.7141094160448711</v>
      </c>
      <c r="L34" s="233">
        <v>2.9787163380187667</v>
      </c>
      <c r="M34" s="233">
        <v>5.5274966247722279</v>
      </c>
      <c r="N34" s="233">
        <v>2.1667838344554053</v>
      </c>
      <c r="O34" s="233">
        <v>2.6596387110757918</v>
      </c>
      <c r="P34" s="233">
        <v>4.7568510932667927</v>
      </c>
      <c r="Q34" s="233">
        <v>3.9523907565294221</v>
      </c>
      <c r="R34" s="233">
        <v>5.1521560349253113</v>
      </c>
      <c r="S34" s="233">
        <v>4.3970176790601609</v>
      </c>
      <c r="T34" s="233">
        <v>5.2643183450819349</v>
      </c>
      <c r="U34" s="233">
        <v>3.322533141438206</v>
      </c>
      <c r="V34" s="233">
        <v>3.9738134557063454</v>
      </c>
      <c r="W34" s="233">
        <v>3.6399189619716652</v>
      </c>
      <c r="X34" s="233">
        <v>4.6411109595991276</v>
      </c>
      <c r="Y34" s="233">
        <v>2.7268272115581276</v>
      </c>
      <c r="Z34" s="233">
        <v>3.2398812112766575</v>
      </c>
      <c r="AA34" s="233">
        <v>4.4835741001295197</v>
      </c>
      <c r="AB34" s="233">
        <v>4.4877226201837059</v>
      </c>
      <c r="AC34" s="233">
        <v>5.848754921192147</v>
      </c>
      <c r="AD34" s="233">
        <v>4.0194781958016659</v>
      </c>
      <c r="AE34" s="233">
        <v>5.2718373658255322</v>
      </c>
      <c r="AF34" s="233">
        <v>4.0877633021036992</v>
      </c>
      <c r="AG34" s="233">
        <v>3.1906903344432207</v>
      </c>
      <c r="AH34" s="233">
        <v>3.2194668105075488</v>
      </c>
      <c r="AI34" s="233">
        <v>0.78467128245388296</v>
      </c>
      <c r="AJ34" s="233">
        <v>1.3122220188577958</v>
      </c>
      <c r="AK34" s="233">
        <v>3.0524439063151831</v>
      </c>
    </row>
    <row r="35" spans="2:37" ht="18" x14ac:dyDescent="0.35">
      <c r="B35" s="255" t="s">
        <v>1250</v>
      </c>
      <c r="C35" s="256" t="s">
        <v>1077</v>
      </c>
      <c r="D35" s="234">
        <v>-0.56314312641386799</v>
      </c>
      <c r="E35" s="234">
        <v>-0.56121859661763496</v>
      </c>
      <c r="F35" s="234">
        <v>-0.55918042712859062</v>
      </c>
      <c r="G35" s="234">
        <v>-0.55662955230971733</v>
      </c>
      <c r="H35" s="234">
        <v>-0.55407867749082929</v>
      </c>
      <c r="I35" s="234">
        <v>-0.551527802671956</v>
      </c>
      <c r="J35" s="234">
        <v>-0.54897692785306806</v>
      </c>
      <c r="K35" s="234">
        <v>-0.54642605303419467</v>
      </c>
      <c r="L35" s="234">
        <v>-0.5438751782153104</v>
      </c>
      <c r="M35" s="234">
        <v>-0.541324303396437</v>
      </c>
      <c r="N35" s="234">
        <v>-0.53869748141335494</v>
      </c>
      <c r="O35" s="234">
        <v>-0.53568466417382032</v>
      </c>
      <c r="P35" s="234">
        <v>-0.53267184693430392</v>
      </c>
      <c r="Q35" s="234">
        <v>-0.52965902969477296</v>
      </c>
      <c r="R35" s="234">
        <v>-0.526646212455253</v>
      </c>
      <c r="S35" s="234">
        <v>-0.5236333952157366</v>
      </c>
      <c r="T35" s="234">
        <v>-0.52062057797620565</v>
      </c>
      <c r="U35" s="234">
        <v>-0.51760776073668568</v>
      </c>
      <c r="V35" s="234">
        <v>-0.51459494349715462</v>
      </c>
      <c r="W35" s="234">
        <v>-0.51132200111761628</v>
      </c>
      <c r="X35" s="234">
        <v>-0.50680884119797065</v>
      </c>
      <c r="Y35" s="234">
        <v>-0.50229568127832502</v>
      </c>
      <c r="Z35" s="234">
        <v>-0.4977825213586683</v>
      </c>
      <c r="AA35" s="234">
        <v>-0.49326936143902261</v>
      </c>
      <c r="AB35" s="234">
        <v>-0.48875620151937699</v>
      </c>
      <c r="AC35" s="234">
        <v>-0.48424304159972031</v>
      </c>
      <c r="AD35" s="234">
        <v>-0.47972988168007469</v>
      </c>
      <c r="AE35" s="234">
        <v>-0.475420674351546</v>
      </c>
      <c r="AF35" s="234">
        <v>-0.47479532538988362</v>
      </c>
      <c r="AG35" s="234">
        <v>-0.474169976428225</v>
      </c>
      <c r="AH35" s="234">
        <v>-0.47354462746657361</v>
      </c>
      <c r="AI35" s="234">
        <v>-0.472919278504915</v>
      </c>
      <c r="AJ35" s="234">
        <v>-0.47229392954326738</v>
      </c>
      <c r="AK35" s="234">
        <v>-0.47166858058160499</v>
      </c>
    </row>
    <row r="36" spans="2:37" ht="18" x14ac:dyDescent="0.35">
      <c r="B36" s="255" t="s">
        <v>1253</v>
      </c>
      <c r="C36" s="256" t="s">
        <v>1077</v>
      </c>
      <c r="D36" s="234">
        <v>-7.7494860895451267E-2</v>
      </c>
      <c r="E36" s="234">
        <v>-7.7243237802600465E-2</v>
      </c>
      <c r="F36" s="234">
        <v>-7.6978039910004931E-2</v>
      </c>
      <c r="G36" s="234">
        <v>-7.6644659463436529E-2</v>
      </c>
      <c r="H36" s="234">
        <v>-7.6311279016867753E-2</v>
      </c>
      <c r="I36" s="234">
        <v>-7.5977898570299005E-2</v>
      </c>
      <c r="J36" s="234">
        <v>-7.5644518123730228E-2</v>
      </c>
      <c r="K36" s="234">
        <v>-7.5311137677161466E-2</v>
      </c>
      <c r="L36" s="234">
        <v>-7.4977757230592704E-2</v>
      </c>
      <c r="M36" s="234">
        <v>-7.4644376784023928E-2</v>
      </c>
      <c r="N36" s="234">
        <v>-7.4301924088845936E-2</v>
      </c>
      <c r="O36" s="234">
        <v>-7.3908352574950292E-2</v>
      </c>
      <c r="P36" s="234">
        <v>-7.3514781061056494E-2</v>
      </c>
      <c r="Q36" s="234">
        <v>-7.3121209547162697E-2</v>
      </c>
      <c r="R36" s="234">
        <v>-7.2727638033267428E-2</v>
      </c>
      <c r="S36" s="234">
        <v>-7.233406651937363E-2</v>
      </c>
      <c r="T36" s="234">
        <v>-7.1940495005478361E-2</v>
      </c>
      <c r="U36" s="234">
        <v>-7.1546923491584563E-2</v>
      </c>
      <c r="V36" s="234">
        <v>-7.1153351977690765E-2</v>
      </c>
      <c r="W36" s="234">
        <v>-7.0728707283320535E-2</v>
      </c>
      <c r="X36" s="234">
        <v>-7.0139458693804863E-2</v>
      </c>
      <c r="Y36" s="234">
        <v>-6.9550210104286997E-2</v>
      </c>
      <c r="Z36" s="234">
        <v>-6.8960961514770963E-2</v>
      </c>
      <c r="AA36" s="234">
        <v>-6.8371712925254929E-2</v>
      </c>
      <c r="AB36" s="234">
        <v>-6.7782464335737438E-2</v>
      </c>
      <c r="AC36" s="234">
        <v>-6.7193215746221391E-2</v>
      </c>
      <c r="AD36" s="234">
        <v>-6.66039671567039E-2</v>
      </c>
      <c r="AE36" s="234">
        <v>-6.6039081670543301E-2</v>
      </c>
      <c r="AF36" s="234">
        <v>-6.5964380774107198E-2</v>
      </c>
      <c r="AG36" s="234">
        <v>-6.5889679877670734E-2</v>
      </c>
      <c r="AH36" s="234">
        <v>-6.5814978981235728E-2</v>
      </c>
      <c r="AI36" s="234">
        <v>-6.5740278084799264E-2</v>
      </c>
      <c r="AJ36" s="234">
        <v>-6.56655771883628E-2</v>
      </c>
      <c r="AK36" s="234">
        <v>-6.5590876291926697E-2</v>
      </c>
    </row>
    <row r="37" spans="2:37" ht="18" x14ac:dyDescent="0.35">
      <c r="B37" s="255" t="s">
        <v>1254</v>
      </c>
      <c r="C37" s="256" t="s">
        <v>1077</v>
      </c>
      <c r="D37" s="234">
        <v>0.38913537487160599</v>
      </c>
      <c r="E37" s="234">
        <v>0.38936234632879457</v>
      </c>
      <c r="F37" s="234">
        <v>0.38952919510850031</v>
      </c>
      <c r="G37" s="234">
        <v>0.38984588076171461</v>
      </c>
      <c r="H37" s="234">
        <v>0.39016256641493258</v>
      </c>
      <c r="I37" s="234">
        <v>0.39047925206815431</v>
      </c>
      <c r="J37" s="234">
        <v>0.39079593772136872</v>
      </c>
      <c r="K37" s="234">
        <v>0.39111262337458658</v>
      </c>
      <c r="L37" s="234">
        <v>0.39142930902780831</v>
      </c>
      <c r="M37" s="234">
        <v>0.39174599468102628</v>
      </c>
      <c r="N37" s="234">
        <v>0.39202249941906331</v>
      </c>
      <c r="O37" s="234">
        <v>0.39241793986689433</v>
      </c>
      <c r="P37" s="234">
        <v>0.39281338031473267</v>
      </c>
      <c r="Q37" s="234">
        <v>0.39320882076257102</v>
      </c>
      <c r="R37" s="234">
        <v>0.39360426121040559</v>
      </c>
      <c r="S37" s="234">
        <v>0.39399970165824028</v>
      </c>
      <c r="T37" s="234">
        <v>0.39439514210607501</v>
      </c>
      <c r="U37" s="234">
        <v>0.39479058255390959</v>
      </c>
      <c r="V37" s="234">
        <v>0.39518602300174799</v>
      </c>
      <c r="W37" s="234">
        <v>0.39544384058641358</v>
      </c>
      <c r="X37" s="234">
        <v>0.39607352898654569</v>
      </c>
      <c r="Y37" s="234">
        <v>0.39670321738668129</v>
      </c>
      <c r="Z37" s="234">
        <v>0.39733290578681701</v>
      </c>
      <c r="AA37" s="234">
        <v>0.39796259418695268</v>
      </c>
      <c r="AB37" s="234">
        <v>0.39859228258708829</v>
      </c>
      <c r="AC37" s="234">
        <v>0.39922197098722401</v>
      </c>
      <c r="AD37" s="234">
        <v>0.39985165938735973</v>
      </c>
      <c r="AE37" s="234">
        <v>0.4005892517737733</v>
      </c>
      <c r="AF37" s="234">
        <v>0.40025840211204472</v>
      </c>
      <c r="AG37" s="234">
        <v>0.39992755245031231</v>
      </c>
      <c r="AH37" s="234">
        <v>0.39959670278858728</v>
      </c>
      <c r="AI37" s="234">
        <v>0.39926585312685497</v>
      </c>
      <c r="AJ37" s="234">
        <v>0.39893500346512628</v>
      </c>
      <c r="AK37" s="234">
        <v>0.39860415380339759</v>
      </c>
    </row>
    <row r="38" spans="2:37" ht="18" x14ac:dyDescent="0.35">
      <c r="B38" s="255" t="s">
        <v>1255</v>
      </c>
      <c r="C38" s="256" t="s">
        <v>1077</v>
      </c>
      <c r="D38" s="234">
        <v>-4.7805765828598433E-2</v>
      </c>
      <c r="E38" s="234">
        <v>-4.7108997178458963E-2</v>
      </c>
      <c r="F38" s="234">
        <v>-4.6393014691422298E-2</v>
      </c>
      <c r="G38" s="234">
        <v>-4.5464051693892699E-2</v>
      </c>
      <c r="H38" s="234">
        <v>-4.45350886963631E-2</v>
      </c>
      <c r="I38" s="234">
        <v>-4.3606125698833487E-2</v>
      </c>
      <c r="J38" s="234">
        <v>-4.2677162701303888E-2</v>
      </c>
      <c r="K38" s="234">
        <v>-4.1748199703774302E-2</v>
      </c>
      <c r="L38" s="234">
        <v>-4.0819236706244703E-2</v>
      </c>
      <c r="M38" s="234">
        <v>-3.9890273708715097E-2</v>
      </c>
      <c r="N38" s="234">
        <v>-3.89484698068411E-2</v>
      </c>
      <c r="O38" s="234">
        <v>-3.7843945896988002E-2</v>
      </c>
      <c r="P38" s="234">
        <v>-3.6739421987135257E-2</v>
      </c>
      <c r="Q38" s="234">
        <v>-3.56348980772822E-2</v>
      </c>
      <c r="R38" s="234">
        <v>-3.4530374167429143E-2</v>
      </c>
      <c r="S38" s="234">
        <v>-3.3425850257582712E-2</v>
      </c>
      <c r="T38" s="234">
        <v>-3.2321326347729579E-2</v>
      </c>
      <c r="U38" s="234">
        <v>-3.1216802437876619E-2</v>
      </c>
      <c r="V38" s="234">
        <v>-3.0112278528023811E-2</v>
      </c>
      <c r="W38" s="234">
        <v>-2.8963773488964641E-2</v>
      </c>
      <c r="X38" s="234">
        <v>-2.7296424637313951E-2</v>
      </c>
      <c r="Y38" s="234">
        <v>-2.562907578566339E-2</v>
      </c>
      <c r="Z38" s="234">
        <v>-2.3961726934012668E-2</v>
      </c>
      <c r="AA38" s="234">
        <v>-2.22943780823621E-2</v>
      </c>
      <c r="AB38" s="234">
        <v>-2.062702923071149E-2</v>
      </c>
      <c r="AC38" s="234">
        <v>-1.8959680379060921E-2</v>
      </c>
      <c r="AD38" s="234">
        <v>-1.7292331527410242E-2</v>
      </c>
      <c r="AE38" s="234">
        <v>-1.565946632951767E-2</v>
      </c>
      <c r="AF38" s="234">
        <v>-1.555373432114715E-2</v>
      </c>
      <c r="AG38" s="234">
        <v>-1.54480023127701E-2</v>
      </c>
      <c r="AH38" s="234">
        <v>-1.534227030439957E-2</v>
      </c>
      <c r="AI38" s="234">
        <v>-1.5236538296029049E-2</v>
      </c>
      <c r="AJ38" s="234">
        <v>-1.5130806287658489E-2</v>
      </c>
      <c r="AK38" s="234">
        <v>-1.5025074279281479E-2</v>
      </c>
    </row>
    <row r="39" spans="2:37" ht="18" x14ac:dyDescent="0.35">
      <c r="B39" s="255" t="s">
        <v>1251</v>
      </c>
      <c r="C39" s="256" t="s">
        <v>1077</v>
      </c>
      <c r="D39" s="234">
        <v>4.1777643880379864</v>
      </c>
      <c r="E39" s="234">
        <v>6.3112235942070516</v>
      </c>
      <c r="F39" s="234">
        <v>4.0524531135786361</v>
      </c>
      <c r="G39" s="234">
        <v>3.3786016286647378</v>
      </c>
      <c r="H39" s="234">
        <v>3.4235720529198801</v>
      </c>
      <c r="I39" s="234">
        <v>4.1744893442620592</v>
      </c>
      <c r="J39" s="234">
        <v>5.2357785855712553</v>
      </c>
      <c r="K39" s="234">
        <v>5.9726277729915571</v>
      </c>
      <c r="L39" s="234">
        <v>3.232888979905344</v>
      </c>
      <c r="M39" s="234">
        <v>5.7579164255717066</v>
      </c>
      <c r="N39" s="234">
        <v>2.3372514758493739</v>
      </c>
      <c r="O39" s="234">
        <v>2.9098968977105102</v>
      </c>
      <c r="P39" s="234">
        <v>4.9774788657058284</v>
      </c>
      <c r="Q39" s="234">
        <v>4.197125328698422</v>
      </c>
      <c r="R39" s="234">
        <v>5.3924370070103329</v>
      </c>
      <c r="S39" s="234">
        <v>4.604582346414543</v>
      </c>
      <c r="T39" s="234">
        <v>5.418046047970356</v>
      </c>
      <c r="U39" s="234">
        <v>3.5268527389276252</v>
      </c>
      <c r="V39" s="234">
        <v>4.1267958417549391</v>
      </c>
      <c r="W39" s="234">
        <v>3.736262328661446</v>
      </c>
      <c r="X39" s="234">
        <v>4.8296216060552242</v>
      </c>
      <c r="Y39" s="234">
        <v>2.7433451400117739</v>
      </c>
      <c r="Z39" s="234">
        <v>3.4272985109420899</v>
      </c>
      <c r="AA39" s="234">
        <v>4.6642699291530532</v>
      </c>
      <c r="AB39" s="234">
        <v>4.666144536618825</v>
      </c>
      <c r="AC39" s="234">
        <v>6.0146698223683517</v>
      </c>
      <c r="AD39" s="234">
        <v>4.17028348250909</v>
      </c>
      <c r="AE39" s="234">
        <v>5.4117544248251104</v>
      </c>
      <c r="AF39" s="234">
        <v>4.1658672060071629</v>
      </c>
      <c r="AG39" s="234">
        <v>3.335347418497506</v>
      </c>
      <c r="AH39" s="234">
        <v>3.3622949457489142</v>
      </c>
      <c r="AI39" s="234">
        <v>0.9013013572560673</v>
      </c>
      <c r="AJ39" s="234">
        <v>1.44053622130377</v>
      </c>
      <c r="AK39" s="234">
        <v>3.176321153615306</v>
      </c>
    </row>
    <row r="40" spans="2:37" x14ac:dyDescent="0.25">
      <c r="B40" s="434" t="s">
        <v>1262</v>
      </c>
      <c r="C40" s="256" t="s">
        <v>535</v>
      </c>
      <c r="D40" s="234">
        <v>4.0089600478669746E-2</v>
      </c>
      <c r="E40" s="234">
        <v>2.5359744751605297E-3</v>
      </c>
      <c r="F40" s="234">
        <v>1.1389234014489862E-2</v>
      </c>
      <c r="G40" s="234">
        <v>6.6057364907705557E-2</v>
      </c>
      <c r="H40" s="234">
        <v>8.4202700571808328E-2</v>
      </c>
      <c r="I40" s="234">
        <v>1.2999656363029487E-2</v>
      </c>
      <c r="J40" s="234">
        <v>2.809063149878388E-2</v>
      </c>
      <c r="K40" s="234">
        <v>1.3854410093857373E-2</v>
      </c>
      <c r="L40" s="234">
        <v>1.4070221237762356E-2</v>
      </c>
      <c r="M40" s="234">
        <v>3.3693158408671833E-2</v>
      </c>
      <c r="N40" s="234">
        <v>8.9457734496009994E-2</v>
      </c>
      <c r="O40" s="234">
        <v>4.7608361441459166E-3</v>
      </c>
      <c r="P40" s="234">
        <v>2.9484897228727242E-2</v>
      </c>
      <c r="Q40" s="234">
        <v>4.717443876466309E-4</v>
      </c>
      <c r="R40" s="234">
        <v>1.8991360522514662E-5</v>
      </c>
      <c r="S40" s="234">
        <v>2.782894298007001E-2</v>
      </c>
      <c r="T40" s="234">
        <v>7.6759554334917268E-2</v>
      </c>
      <c r="U40" s="234">
        <v>2.1261306622818072E-2</v>
      </c>
      <c r="V40" s="234">
        <v>6.7692164952527736E-2</v>
      </c>
      <c r="W40" s="234">
        <v>0.11922727461370704</v>
      </c>
      <c r="X40" s="234">
        <v>1.9660549086447716E-2</v>
      </c>
      <c r="Y40" s="234">
        <v>0.18425382132794801</v>
      </c>
      <c r="Z40" s="234">
        <v>5.95500435520252E-3</v>
      </c>
      <c r="AA40" s="234">
        <v>5.2770292361535142E-3</v>
      </c>
      <c r="AB40" s="234">
        <v>1.5149606361825307E-4</v>
      </c>
      <c r="AC40" s="234">
        <v>5.2590655615732552E-3</v>
      </c>
      <c r="AD40" s="234">
        <v>1.2969234269404394E-2</v>
      </c>
      <c r="AE40" s="234">
        <v>1.6612911578255618E-2</v>
      </c>
      <c r="AF40" s="234">
        <v>7.7951134469629951E-2</v>
      </c>
      <c r="AG40" s="234">
        <v>1.0923022114068018E-2</v>
      </c>
      <c r="AH40" s="234">
        <v>1.2277038722256115E-2</v>
      </c>
      <c r="AI40" s="234">
        <v>3.8000166956704037E-2</v>
      </c>
      <c r="AJ40" s="234">
        <v>2.5841107108188099E-2</v>
      </c>
      <c r="AK40" s="234">
        <v>2.9803130049292949E-2</v>
      </c>
    </row>
    <row r="41" spans="2:37" ht="18" x14ac:dyDescent="0.35">
      <c r="B41" s="434"/>
      <c r="C41" s="256" t="s">
        <v>1068</v>
      </c>
      <c r="D41" s="234">
        <v>2.1505791510423419E-2</v>
      </c>
      <c r="E41" s="234">
        <v>1.360406132447631E-3</v>
      </c>
      <c r="F41" s="234">
        <v>6.109676555877944E-3</v>
      </c>
      <c r="G41" s="234">
        <v>3.5436020825124918E-2</v>
      </c>
      <c r="H41" s="234">
        <v>4.5169961822777681E-2</v>
      </c>
      <c r="I41" s="234">
        <v>6.9735765912461323E-3</v>
      </c>
      <c r="J41" s="234">
        <v>1.506902680984324E-2</v>
      </c>
      <c r="K41" s="234">
        <v>7.4321033739643012E-3</v>
      </c>
      <c r="L41" s="234">
        <v>7.54787378352266E-3</v>
      </c>
      <c r="M41" s="234">
        <v>1.807446398599304E-2</v>
      </c>
      <c r="N41" s="234">
        <v>4.7988988767538841E-2</v>
      </c>
      <c r="O41" s="234">
        <v>2.5539179315534951E-3</v>
      </c>
      <c r="P41" s="234">
        <v>1.5816971108121899E-2</v>
      </c>
      <c r="Q41" s="234">
        <v>2.5306404468507308E-4</v>
      </c>
      <c r="R41" s="234">
        <v>1.018778523656762E-5</v>
      </c>
      <c r="S41" s="234">
        <v>1.492864579688888E-2</v>
      </c>
      <c r="T41" s="234">
        <v>4.117713701931424E-2</v>
      </c>
      <c r="U41" s="234">
        <v>1.140548226996654E-2</v>
      </c>
      <c r="V41" s="234">
        <v>3.6312998108644599E-2</v>
      </c>
      <c r="W41" s="234">
        <v>6.3958654603271395E-2</v>
      </c>
      <c r="X41" s="234">
        <v>1.0546766856869909E-2</v>
      </c>
      <c r="Y41" s="234">
        <v>9.8841700070969235E-2</v>
      </c>
      <c r="Z41" s="234">
        <v>3.1945212867558761E-3</v>
      </c>
      <c r="AA41" s="234">
        <v>2.8308261791610639E-3</v>
      </c>
      <c r="AB41" s="234">
        <v>8.1269025381220316E-5</v>
      </c>
      <c r="AC41" s="234">
        <v>2.821189689007228E-3</v>
      </c>
      <c r="AD41" s="234">
        <v>6.9572568675522082E-3</v>
      </c>
      <c r="AE41" s="234">
        <v>8.9118825959155438E-3</v>
      </c>
      <c r="AF41" s="234">
        <v>4.1816352018693562E-2</v>
      </c>
      <c r="AG41" s="234">
        <v>5.8595803760598157E-3</v>
      </c>
      <c r="AH41" s="234">
        <v>6.5859333087321479E-3</v>
      </c>
      <c r="AI41" s="234">
        <v>2.0385788190201089E-2</v>
      </c>
      <c r="AJ41" s="234">
        <v>1.3864789838315879E-2</v>
      </c>
      <c r="AK41" s="234">
        <v>1.598413485404938E-2</v>
      </c>
    </row>
    <row r="42" spans="2:37" ht="18" x14ac:dyDescent="0.35">
      <c r="B42" s="434"/>
      <c r="C42" s="256" t="s">
        <v>1070</v>
      </c>
      <c r="D42" s="234">
        <v>1.8583808968246331E-2</v>
      </c>
      <c r="E42" s="234">
        <v>1.175568342712899E-3</v>
      </c>
      <c r="F42" s="234">
        <v>5.2795574586119191E-3</v>
      </c>
      <c r="G42" s="234">
        <v>3.0621344082580639E-2</v>
      </c>
      <c r="H42" s="234">
        <v>3.9032738749030647E-2</v>
      </c>
      <c r="I42" s="234">
        <v>6.0260797717833553E-3</v>
      </c>
      <c r="J42" s="234">
        <v>1.302160468894064E-2</v>
      </c>
      <c r="K42" s="234">
        <v>6.4223067198930714E-3</v>
      </c>
      <c r="L42" s="234">
        <v>6.5223474542396949E-3</v>
      </c>
      <c r="M42" s="234">
        <v>1.561869442267879E-2</v>
      </c>
      <c r="N42" s="234">
        <v>4.1468745728471153E-2</v>
      </c>
      <c r="O42" s="234">
        <v>2.2069182125924211E-3</v>
      </c>
      <c r="P42" s="234">
        <v>1.366792612060534E-2</v>
      </c>
      <c r="Q42" s="234">
        <v>2.1868034296155779E-4</v>
      </c>
      <c r="R42" s="234">
        <v>8.803575285947042E-6</v>
      </c>
      <c r="S42" s="234">
        <v>1.290029718318113E-2</v>
      </c>
      <c r="T42" s="234">
        <v>3.5582417315603021E-2</v>
      </c>
      <c r="U42" s="234">
        <v>9.8558243528515319E-3</v>
      </c>
      <c r="V42" s="234">
        <v>3.1379166843883137E-2</v>
      </c>
      <c r="W42" s="234">
        <v>5.5268620010435643E-2</v>
      </c>
      <c r="X42" s="234">
        <v>9.113782229577809E-3</v>
      </c>
      <c r="Y42" s="234">
        <v>8.5412121256978779E-2</v>
      </c>
      <c r="Z42" s="234">
        <v>2.760483068446644E-3</v>
      </c>
      <c r="AA42" s="234">
        <v>2.4462030569924499E-3</v>
      </c>
      <c r="AB42" s="234">
        <v>7.0227038237032766E-5</v>
      </c>
      <c r="AC42" s="234">
        <v>2.4378758725660272E-3</v>
      </c>
      <c r="AD42" s="234">
        <v>6.0119774018521852E-3</v>
      </c>
      <c r="AE42" s="234">
        <v>7.7010289823400743E-3</v>
      </c>
      <c r="AF42" s="234">
        <v>3.6134782450936383E-2</v>
      </c>
      <c r="AG42" s="234">
        <v>5.0634417380082024E-3</v>
      </c>
      <c r="AH42" s="234">
        <v>5.6911054135239669E-3</v>
      </c>
      <c r="AI42" s="234">
        <v>1.7614378766502951E-2</v>
      </c>
      <c r="AJ42" s="234">
        <v>1.197631726987222E-2</v>
      </c>
      <c r="AK42" s="234">
        <v>1.381899519524357E-2</v>
      </c>
    </row>
    <row r="43" spans="2:37" x14ac:dyDescent="0.25">
      <c r="B43" s="263" t="s">
        <v>1263</v>
      </c>
      <c r="C43" s="257" t="s">
        <v>535</v>
      </c>
      <c r="D43" s="233">
        <v>2.9788837053080677</v>
      </c>
      <c r="E43" s="233">
        <v>2.7547243379746615</v>
      </c>
      <c r="F43" s="233">
        <v>2.9198650057666242</v>
      </c>
      <c r="G43" s="233">
        <v>2.6091697589181311</v>
      </c>
      <c r="H43" s="233">
        <v>2.3945992618561762</v>
      </c>
      <c r="I43" s="233">
        <v>2.5359662360721758</v>
      </c>
      <c r="J43" s="233">
        <v>2.5712179944886913</v>
      </c>
      <c r="K43" s="233">
        <v>2.4741600600844076</v>
      </c>
      <c r="L43" s="233">
        <v>2.3789544397941653</v>
      </c>
      <c r="M43" s="233">
        <v>2.4956088156006491</v>
      </c>
      <c r="N43" s="233">
        <v>2.4591085206773502</v>
      </c>
      <c r="O43" s="233">
        <v>2.3243521040253068</v>
      </c>
      <c r="P43" s="233">
        <v>2.5197546442700163</v>
      </c>
      <c r="Q43" s="233">
        <v>2.5340858633420291</v>
      </c>
      <c r="R43" s="233">
        <v>2.4778480928932569</v>
      </c>
      <c r="S43" s="233">
        <v>2.4955197812556955</v>
      </c>
      <c r="T43" s="233">
        <v>2.5399286948312643</v>
      </c>
      <c r="U43" s="233">
        <v>2.3695994432951997</v>
      </c>
      <c r="V43" s="233">
        <v>2.4766844066570584</v>
      </c>
      <c r="W43" s="233">
        <v>2.0969004270298148</v>
      </c>
      <c r="X43" s="233">
        <v>2.4200121172234299</v>
      </c>
      <c r="Y43" s="233">
        <v>2.3201361719749367</v>
      </c>
      <c r="Z43" s="233">
        <v>1.990899196834776</v>
      </c>
      <c r="AA43" s="233">
        <v>2.0201584110234467</v>
      </c>
      <c r="AB43" s="233">
        <v>2.2511827138572915</v>
      </c>
      <c r="AC43" s="233">
        <v>1.9734894030422583</v>
      </c>
      <c r="AD43" s="233">
        <v>2.1273804030720802</v>
      </c>
      <c r="AE43" s="233">
        <v>2.2318275634235132</v>
      </c>
      <c r="AF43" s="233">
        <v>2.0469580442639779</v>
      </c>
      <c r="AG43" s="233">
        <v>2.0391021723021101</v>
      </c>
      <c r="AH43" s="233">
        <v>1.9731262002779539</v>
      </c>
      <c r="AI43" s="233">
        <v>2.0766363337558458</v>
      </c>
      <c r="AJ43" s="233">
        <v>2.0754961238403542</v>
      </c>
      <c r="AK43" s="233">
        <v>2.0536046970468433</v>
      </c>
    </row>
    <row r="44" spans="2:37" ht="18" x14ac:dyDescent="0.35">
      <c r="B44" s="255" t="s">
        <v>1250</v>
      </c>
      <c r="C44" s="256" t="s">
        <v>1077</v>
      </c>
      <c r="D44" s="234">
        <v>3.5579878575604411</v>
      </c>
      <c r="E44" s="234">
        <v>3.4496376209866666</v>
      </c>
      <c r="F44" s="234">
        <v>3.5677866689906579</v>
      </c>
      <c r="G44" s="234">
        <v>3.3588042691477962</v>
      </c>
      <c r="H44" s="234">
        <v>3.2330437517404684</v>
      </c>
      <c r="I44" s="234">
        <v>3.371521688254262</v>
      </c>
      <c r="J44" s="234">
        <v>3.4164693467570708</v>
      </c>
      <c r="K44" s="234">
        <v>3.3280714304919812</v>
      </c>
      <c r="L44" s="234">
        <v>3.2708649564812329</v>
      </c>
      <c r="M44" s="234">
        <v>3.423155659127644</v>
      </c>
      <c r="N44" s="234">
        <v>3.3699654728436057</v>
      </c>
      <c r="O44" s="234">
        <v>3.2525234670742553</v>
      </c>
      <c r="P44" s="234">
        <v>3.4477485140503248</v>
      </c>
      <c r="Q44" s="234">
        <v>3.4648511790446967</v>
      </c>
      <c r="R44" s="234">
        <v>3.4478702797172098</v>
      </c>
      <c r="S44" s="234">
        <v>3.4759431251210784</v>
      </c>
      <c r="T44" s="234">
        <v>3.5016331388509019</v>
      </c>
      <c r="U44" s="234">
        <v>3.3670048626659645</v>
      </c>
      <c r="V44" s="234">
        <v>3.4671659377668451</v>
      </c>
      <c r="W44" s="234">
        <v>3.1726349894529284</v>
      </c>
      <c r="X44" s="234">
        <v>3.5110296226173934</v>
      </c>
      <c r="Y44" s="234">
        <v>3.3371937517563821</v>
      </c>
      <c r="Z44" s="234">
        <v>3.0990956629165396</v>
      </c>
      <c r="AA44" s="234">
        <v>3.173106983057191</v>
      </c>
      <c r="AB44" s="234">
        <v>3.3286253886296828</v>
      </c>
      <c r="AC44" s="234">
        <v>3.1988501184622713</v>
      </c>
      <c r="AD44" s="234">
        <v>3.4171749796327782</v>
      </c>
      <c r="AE44" s="234">
        <v>3.4422505414156226</v>
      </c>
      <c r="AF44" s="234">
        <v>3.2151054073509004</v>
      </c>
      <c r="AG44" s="234">
        <v>3.1889487263154521</v>
      </c>
      <c r="AH44" s="234">
        <v>3.1733279102302965</v>
      </c>
      <c r="AI44" s="234">
        <v>3.1639495672813722</v>
      </c>
      <c r="AJ44" s="234">
        <v>3.1582931738148448</v>
      </c>
      <c r="AK44" s="234">
        <v>3.1548665548378159</v>
      </c>
    </row>
    <row r="45" spans="2:37" ht="18" x14ac:dyDescent="0.35">
      <c r="B45" s="255" t="s">
        <v>1253</v>
      </c>
      <c r="C45" s="256" t="s">
        <v>1077</v>
      </c>
      <c r="D45" s="234">
        <v>0.67037267775672005</v>
      </c>
      <c r="E45" s="234">
        <v>0.6698048450226628</v>
      </c>
      <c r="F45" s="234">
        <v>0.66923701228860188</v>
      </c>
      <c r="G45" s="234">
        <v>0.66850190137167809</v>
      </c>
      <c r="H45" s="234">
        <v>0.66776679045475429</v>
      </c>
      <c r="I45" s="234">
        <v>0.66703167953783038</v>
      </c>
      <c r="J45" s="234">
        <v>0.66629656862090669</v>
      </c>
      <c r="K45" s="234">
        <v>0.66556145770398656</v>
      </c>
      <c r="L45" s="234">
        <v>0.66482634678706276</v>
      </c>
      <c r="M45" s="234">
        <v>0.66409123587013896</v>
      </c>
      <c r="N45" s="234">
        <v>0.66335612495321528</v>
      </c>
      <c r="O45" s="234">
        <v>0.66251156589801485</v>
      </c>
      <c r="P45" s="234">
        <v>0.66166700684281432</v>
      </c>
      <c r="Q45" s="234">
        <v>0.66082244778761379</v>
      </c>
      <c r="R45" s="234">
        <v>0.65997788873241703</v>
      </c>
      <c r="S45" s="234">
        <v>0.65913332967721661</v>
      </c>
      <c r="T45" s="234">
        <v>0.65828877062201629</v>
      </c>
      <c r="U45" s="234">
        <v>0.65744421156681576</v>
      </c>
      <c r="V45" s="234">
        <v>0.656599652511619</v>
      </c>
      <c r="W45" s="234">
        <v>0.65575509345641847</v>
      </c>
      <c r="X45" s="234">
        <v>0.65453123511570344</v>
      </c>
      <c r="Y45" s="234">
        <v>0.6533073767749884</v>
      </c>
      <c r="Z45" s="234">
        <v>0.65208351843427337</v>
      </c>
      <c r="AA45" s="234">
        <v>0.65085966009356189</v>
      </c>
      <c r="AB45" s="234">
        <v>0.64963580175284685</v>
      </c>
      <c r="AC45" s="234">
        <v>0.64841194341213171</v>
      </c>
      <c r="AD45" s="234">
        <v>0.64718808507141679</v>
      </c>
      <c r="AE45" s="234">
        <v>0.6459642267307053</v>
      </c>
      <c r="AF45" s="234">
        <v>0.6459642267307053</v>
      </c>
      <c r="AG45" s="234">
        <v>0.6459642267307053</v>
      </c>
      <c r="AH45" s="234">
        <v>0.6459642267307053</v>
      </c>
      <c r="AI45" s="234">
        <v>0.6459642267307053</v>
      </c>
      <c r="AJ45" s="234">
        <v>0.6459642267307053</v>
      </c>
      <c r="AK45" s="234">
        <v>0.6459642267307053</v>
      </c>
    </row>
    <row r="46" spans="2:37" ht="18" x14ac:dyDescent="0.35">
      <c r="B46" s="255" t="s">
        <v>1254</v>
      </c>
      <c r="C46" s="256" t="s">
        <v>1077</v>
      </c>
      <c r="D46" s="234">
        <v>-1.5281799127536939</v>
      </c>
      <c r="E46" s="234">
        <v>-1.5266520181561334</v>
      </c>
      <c r="F46" s="234">
        <v>-1.5251241235585713</v>
      </c>
      <c r="G46" s="234">
        <v>-1.5231365436480686</v>
      </c>
      <c r="H46" s="234">
        <v>-1.5211489637375619</v>
      </c>
      <c r="I46" s="234">
        <v>-1.5191613838270552</v>
      </c>
      <c r="J46" s="234">
        <v>-1.5171738039165477</v>
      </c>
      <c r="K46" s="234">
        <v>-1.5151862240060447</v>
      </c>
      <c r="L46" s="234">
        <v>-1.5131986440955383</v>
      </c>
      <c r="M46" s="234">
        <v>-1.5112110641850314</v>
      </c>
      <c r="N46" s="234">
        <v>-1.5092234842745247</v>
      </c>
      <c r="O46" s="234">
        <v>-1.5069267276579832</v>
      </c>
      <c r="P46" s="234">
        <v>-1.5046299710414368</v>
      </c>
      <c r="Q46" s="234">
        <v>-1.5023332144248951</v>
      </c>
      <c r="R46" s="234">
        <v>-1.5000364578083487</v>
      </c>
      <c r="S46" s="234">
        <v>-1.4977397011918072</v>
      </c>
      <c r="T46" s="234">
        <v>-1.4954429445752606</v>
      </c>
      <c r="U46" s="234">
        <v>-1.4931461879587189</v>
      </c>
      <c r="V46" s="234">
        <v>-1.4908494313421725</v>
      </c>
      <c r="W46" s="234">
        <v>-1.488552674725631</v>
      </c>
      <c r="X46" s="234">
        <v>-1.4852006675401808</v>
      </c>
      <c r="Y46" s="234">
        <v>-1.4818486603547321</v>
      </c>
      <c r="Z46" s="234">
        <v>-1.4784966531692829</v>
      </c>
      <c r="AA46" s="234">
        <v>-1.4751446459838329</v>
      </c>
      <c r="AB46" s="234">
        <v>-1.4717926387983837</v>
      </c>
      <c r="AC46" s="234">
        <v>-1.4684406316129377</v>
      </c>
      <c r="AD46" s="234">
        <v>-1.4650886244274888</v>
      </c>
      <c r="AE46" s="234">
        <v>-1.4617366172420396</v>
      </c>
      <c r="AF46" s="234">
        <v>-1.4617366172420396</v>
      </c>
      <c r="AG46" s="234">
        <v>-1.4617366172420396</v>
      </c>
      <c r="AH46" s="234">
        <v>-1.4617366172420396</v>
      </c>
      <c r="AI46" s="234">
        <v>-1.4617366172420396</v>
      </c>
      <c r="AJ46" s="234">
        <v>-1.4617366172420396</v>
      </c>
      <c r="AK46" s="234">
        <v>-1.4617366172420396</v>
      </c>
    </row>
    <row r="47" spans="2:37" ht="18" x14ac:dyDescent="0.35">
      <c r="B47" s="255" t="s">
        <v>1255</v>
      </c>
      <c r="C47" s="256" t="s">
        <v>1077</v>
      </c>
      <c r="D47" s="234">
        <v>0.38932962444059993</v>
      </c>
      <c r="E47" s="234">
        <v>0.3891139224827993</v>
      </c>
      <c r="F47" s="234">
        <v>0.38889822052500256</v>
      </c>
      <c r="G47" s="234">
        <v>0.38862365674625904</v>
      </c>
      <c r="H47" s="234">
        <v>0.38834909296751546</v>
      </c>
      <c r="I47" s="234">
        <v>0.38807452918877194</v>
      </c>
      <c r="J47" s="234">
        <v>0.38779996541002842</v>
      </c>
      <c r="K47" s="234">
        <v>0.3875254016312849</v>
      </c>
      <c r="L47" s="234">
        <v>0.38725083785254127</v>
      </c>
      <c r="M47" s="234">
        <v>0.38697627407379781</v>
      </c>
      <c r="N47" s="234">
        <v>0.38670171029505435</v>
      </c>
      <c r="O47" s="234">
        <v>0.38639274325468637</v>
      </c>
      <c r="P47" s="234">
        <v>0.38608377621431483</v>
      </c>
      <c r="Q47" s="234">
        <v>0.38577480917394691</v>
      </c>
      <c r="R47" s="234">
        <v>0.38546584213357904</v>
      </c>
      <c r="S47" s="234">
        <v>0.38515687509320756</v>
      </c>
      <c r="T47" s="234">
        <v>0.38484790805283964</v>
      </c>
      <c r="U47" s="234">
        <v>0.38453894101247177</v>
      </c>
      <c r="V47" s="234">
        <v>0.38422997397210024</v>
      </c>
      <c r="W47" s="234">
        <v>0.38392100693173226</v>
      </c>
      <c r="X47" s="234">
        <v>0.38348488760901323</v>
      </c>
      <c r="Y47" s="234">
        <v>0.3830487682862983</v>
      </c>
      <c r="Z47" s="234">
        <v>0.38261264896357927</v>
      </c>
      <c r="AA47" s="234">
        <v>0.38217652964086019</v>
      </c>
      <c r="AB47" s="234">
        <v>0.38174041031814526</v>
      </c>
      <c r="AC47" s="234">
        <v>0.38130429099542612</v>
      </c>
      <c r="AD47" s="234">
        <v>0.38086817167270726</v>
      </c>
      <c r="AE47" s="234">
        <v>0.38043205234999217</v>
      </c>
      <c r="AF47" s="234">
        <v>0.38043205234999217</v>
      </c>
      <c r="AG47" s="234">
        <v>0.38043205234999217</v>
      </c>
      <c r="AH47" s="234">
        <v>0.38043205234999217</v>
      </c>
      <c r="AI47" s="234">
        <v>0.38043205234999217</v>
      </c>
      <c r="AJ47" s="234">
        <v>0.38043205234999217</v>
      </c>
      <c r="AK47" s="234">
        <v>0.38043205234999217</v>
      </c>
    </row>
    <row r="48" spans="2:37" ht="18" x14ac:dyDescent="0.35">
      <c r="B48" s="255" t="s">
        <v>1251</v>
      </c>
      <c r="C48" s="256" t="s">
        <v>1077</v>
      </c>
      <c r="D48" s="234">
        <v>-0.110626541696</v>
      </c>
      <c r="E48" s="234">
        <v>-0.22718003236133336</v>
      </c>
      <c r="F48" s="234">
        <v>-0.18093277247906658</v>
      </c>
      <c r="G48" s="234">
        <v>-0.28362352469953339</v>
      </c>
      <c r="H48" s="234">
        <v>-0.37341140956899999</v>
      </c>
      <c r="I48" s="234">
        <v>-0.3715002770816333</v>
      </c>
      <c r="J48" s="234">
        <v>-0.38217408238276662</v>
      </c>
      <c r="K48" s="234">
        <v>-0.39181200573680003</v>
      </c>
      <c r="L48" s="234">
        <v>-0.43078905723113337</v>
      </c>
      <c r="M48" s="234">
        <v>-0.46740328928589997</v>
      </c>
      <c r="N48" s="234">
        <v>-0.45169130313999994</v>
      </c>
      <c r="O48" s="234">
        <v>-0.47014894454366679</v>
      </c>
      <c r="P48" s="234">
        <v>-0.47111468179599997</v>
      </c>
      <c r="Q48" s="234">
        <v>-0.47502935823933334</v>
      </c>
      <c r="R48" s="234">
        <v>-0.51542945988159994</v>
      </c>
      <c r="S48" s="234">
        <v>-0.526973847444</v>
      </c>
      <c r="T48" s="234">
        <v>-0.50939817811923338</v>
      </c>
      <c r="U48" s="234">
        <v>-0.54624238399133329</v>
      </c>
      <c r="V48" s="234">
        <v>-0.54046172625133326</v>
      </c>
      <c r="W48" s="234">
        <v>-0.6268579880856332</v>
      </c>
      <c r="X48" s="234">
        <v>-0.64383296057849981</v>
      </c>
      <c r="Y48" s="234">
        <v>-0.57156506448799993</v>
      </c>
      <c r="Z48" s="234">
        <v>-0.66439598031033342</v>
      </c>
      <c r="AA48" s="234">
        <v>-0.71084011578433337</v>
      </c>
      <c r="AB48" s="234">
        <v>-0.63702624804499997</v>
      </c>
      <c r="AC48" s="234">
        <v>-0.7866363182146332</v>
      </c>
      <c r="AD48" s="234">
        <v>-0.85276220887733323</v>
      </c>
      <c r="AE48" s="234">
        <v>-0.77508263983076664</v>
      </c>
      <c r="AF48" s="234">
        <v>-0.73280702492557992</v>
      </c>
      <c r="AG48" s="234">
        <v>-0.71450621585199992</v>
      </c>
      <c r="AH48" s="234">
        <v>-0.76486137179099989</v>
      </c>
      <c r="AI48" s="234">
        <v>-0.65197289536418379</v>
      </c>
      <c r="AJ48" s="234">
        <v>-0.64745671181314868</v>
      </c>
      <c r="AK48" s="234">
        <v>-0.66592151962963064</v>
      </c>
    </row>
    <row r="49" spans="2:37" hidden="1" x14ac:dyDescent="0.25">
      <c r="B49" s="258" t="s">
        <v>1264</v>
      </c>
      <c r="C49" s="256" t="s">
        <v>535</v>
      </c>
      <c r="D49" s="234">
        <v>-5.5191059215628641E-2</v>
      </c>
      <c r="E49" s="234">
        <v>-7.699090056921809E-2</v>
      </c>
      <c r="F49" s="234">
        <v>-2.8984944723607478E-2</v>
      </c>
      <c r="G49" s="234">
        <v>-2.872676043084605E-2</v>
      </c>
      <c r="H49" s="234">
        <v>-3.2450771449275176E-2</v>
      </c>
      <c r="I49" s="234">
        <v>-5.2309131235568053E-2</v>
      </c>
      <c r="J49" s="234">
        <v>-7.7174997025465888E-2</v>
      </c>
      <c r="K49" s="234">
        <v>-9.9183830344148072E-2</v>
      </c>
      <c r="L49" s="234">
        <v>-0.16078961388105145</v>
      </c>
      <c r="M49" s="234">
        <v>-9.9963909398876144E-2</v>
      </c>
      <c r="N49" s="234">
        <v>-9.7177819360533921E-2</v>
      </c>
      <c r="O49" s="234">
        <v>-8.8510071475328383E-2</v>
      </c>
      <c r="P49" s="234">
        <v>-9.4553603431769107E-2</v>
      </c>
      <c r="Q49" s="234">
        <v>-8.1281386406004505E-2</v>
      </c>
      <c r="R49" s="234">
        <v>-5.8940303440406037E-2</v>
      </c>
      <c r="S49" s="234">
        <v>-9.4535373074605911E-2</v>
      </c>
      <c r="T49" s="234">
        <v>-5.3422215491633521E-2</v>
      </c>
      <c r="U49" s="234">
        <v>-0.18970040020252349</v>
      </c>
      <c r="V49" s="234">
        <v>-8.5339698956042778E-2</v>
      </c>
      <c r="W49" s="234">
        <v>-0.22672950880562831</v>
      </c>
      <c r="X49" s="234">
        <v>-5.5225634968361643E-2</v>
      </c>
      <c r="Y49" s="234">
        <v>-0.20977432409344179</v>
      </c>
      <c r="Z49" s="234">
        <v>-0.42244039279980261</v>
      </c>
      <c r="AA49" s="234">
        <v>-0.23186333839384388</v>
      </c>
      <c r="AB49" s="234">
        <v>-0.2398035173926224</v>
      </c>
      <c r="AC49" s="234">
        <v>-0.12107570761878068</v>
      </c>
      <c r="AD49" s="234">
        <v>-0.11370238658886836</v>
      </c>
      <c r="AE49" s="234">
        <v>-8.6866540568168268E-2</v>
      </c>
      <c r="AF49" s="234">
        <v>-0.10841130539763048</v>
      </c>
      <c r="AG49" s="234">
        <v>-8.4347124308559229E-2</v>
      </c>
      <c r="AH49" s="234">
        <v>-6.0840263234699349E-2</v>
      </c>
      <c r="AI49" s="234">
        <v>-0.10743937678253467</v>
      </c>
      <c r="AJ49" s="234">
        <v>-0.10017608425230748</v>
      </c>
      <c r="AK49" s="234">
        <v>-9.9377250673703385E-2</v>
      </c>
    </row>
    <row r="50" spans="2:37" ht="18" hidden="1" x14ac:dyDescent="0.35">
      <c r="B50" s="255" t="s">
        <v>1250</v>
      </c>
      <c r="C50" s="256" t="s">
        <v>1077</v>
      </c>
      <c r="D50" s="234">
        <v>-6.6293100529619692E-3</v>
      </c>
      <c r="E50" s="234">
        <v>9.781289125448572E-3</v>
      </c>
      <c r="F50" s="234">
        <v>8.1644546887925263E-3</v>
      </c>
      <c r="G50" s="234">
        <v>2.7280757702020611E-2</v>
      </c>
      <c r="H50" s="234">
        <v>2.9209639953058138E-2</v>
      </c>
      <c r="I50" s="234">
        <v>9.729180460652803E-4</v>
      </c>
      <c r="J50" s="234">
        <v>-1.9180454942699231E-2</v>
      </c>
      <c r="K50" s="234">
        <v>-3.2511140574014739E-2</v>
      </c>
      <c r="L50" s="234">
        <v>-9.5891254349918131E-2</v>
      </c>
      <c r="M50" s="234">
        <v>-6.3130068129761598E-3</v>
      </c>
      <c r="N50" s="234">
        <v>-2.6364859853867259E-2</v>
      </c>
      <c r="O50" s="234">
        <v>-1.617997363166173E-2</v>
      </c>
      <c r="P50" s="234">
        <v>-3.5530823102435757E-2</v>
      </c>
      <c r="Q50" s="234">
        <v>-2.671929700000451E-2</v>
      </c>
      <c r="R50" s="234">
        <v>-6.0755212254727103E-3</v>
      </c>
      <c r="S50" s="234">
        <v>-2.939539996393924E-2</v>
      </c>
      <c r="T50" s="234">
        <v>-6.4080217057335227E-3</v>
      </c>
      <c r="U50" s="234">
        <v>-0.1116720005445235</v>
      </c>
      <c r="V50" s="234">
        <v>-1.8184187038042782E-2</v>
      </c>
      <c r="W50" s="234">
        <v>-0.16991172837999499</v>
      </c>
      <c r="X50" s="234">
        <v>2.128070230347167E-2</v>
      </c>
      <c r="Y50" s="234">
        <v>-0.1366939634654418</v>
      </c>
      <c r="Z50" s="234">
        <v>-0.37066613450946928</v>
      </c>
      <c r="AA50" s="234">
        <v>-0.1228115498228439</v>
      </c>
      <c r="AB50" s="234">
        <v>-0.13237756999095571</v>
      </c>
      <c r="AC50" s="234">
        <v>2.6813791585261672E-4</v>
      </c>
      <c r="AD50" s="234">
        <v>-1.7141495488201701E-2</v>
      </c>
      <c r="AE50" s="234">
        <v>-8.3172467073493596E-4</v>
      </c>
      <c r="AF50" s="234">
        <v>-1.3717595248717161E-2</v>
      </c>
      <c r="AG50" s="234">
        <v>-1.316072852989255E-2</v>
      </c>
      <c r="AH50" s="234">
        <v>-1.286385217703268E-2</v>
      </c>
      <c r="AI50" s="234">
        <v>-1.269813268923925E-2</v>
      </c>
      <c r="AJ50" s="234">
        <v>-1.260300449840797E-2</v>
      </c>
      <c r="AK50" s="234">
        <v>-1.254721167953979E-2</v>
      </c>
    </row>
    <row r="51" spans="2:37" ht="18" hidden="1" x14ac:dyDescent="0.35">
      <c r="B51" s="255" t="s">
        <v>1251</v>
      </c>
      <c r="C51" s="256" t="s">
        <v>1077</v>
      </c>
      <c r="D51" s="234">
        <v>-4.8561749162666673E-2</v>
      </c>
      <c r="E51" s="234">
        <v>-8.6772189694666657E-2</v>
      </c>
      <c r="F51" s="234">
        <v>-3.7149399412400003E-2</v>
      </c>
      <c r="G51" s="234">
        <v>-5.6007518132866661E-2</v>
      </c>
      <c r="H51" s="234">
        <v>-6.1660411402333318E-2</v>
      </c>
      <c r="I51" s="234">
        <v>-5.3282049281633333E-2</v>
      </c>
      <c r="J51" s="234">
        <v>-5.7994542082766658E-2</v>
      </c>
      <c r="K51" s="234">
        <v>-6.6672689770133339E-2</v>
      </c>
      <c r="L51" s="234">
        <v>-6.4898359531133334E-2</v>
      </c>
      <c r="M51" s="234">
        <v>-9.3650902585899989E-2</v>
      </c>
      <c r="N51" s="234">
        <v>-7.0812959506666662E-2</v>
      </c>
      <c r="O51" s="234">
        <v>-7.233009784366666E-2</v>
      </c>
      <c r="P51" s="234">
        <v>-5.9022780329333342E-2</v>
      </c>
      <c r="Q51" s="234">
        <v>-5.4562089405999992E-2</v>
      </c>
      <c r="R51" s="234">
        <v>-5.2864782214933327E-2</v>
      </c>
      <c r="S51" s="234">
        <v>-6.5139973110666674E-2</v>
      </c>
      <c r="T51" s="234">
        <v>-4.7014193785900001E-2</v>
      </c>
      <c r="U51" s="234">
        <v>-7.8028399658E-2</v>
      </c>
      <c r="V51" s="234">
        <v>-6.7155511917999997E-2</v>
      </c>
      <c r="W51" s="234">
        <v>-5.6817780425633332E-2</v>
      </c>
      <c r="X51" s="234">
        <v>-7.6506337271833313E-2</v>
      </c>
      <c r="Y51" s="234">
        <v>-7.3080360627999996E-2</v>
      </c>
      <c r="Z51" s="234">
        <v>-5.1774258290333337E-2</v>
      </c>
      <c r="AA51" s="234">
        <v>-0.10905178857099999</v>
      </c>
      <c r="AB51" s="234">
        <v>-0.10742594740166669</v>
      </c>
      <c r="AC51" s="234">
        <v>-0.1213438455346333</v>
      </c>
      <c r="AD51" s="234">
        <v>-9.6560891100666665E-2</v>
      </c>
      <c r="AE51" s="234">
        <v>-8.6034815897433337E-2</v>
      </c>
      <c r="AF51" s="234">
        <v>-9.4693710148913326E-2</v>
      </c>
      <c r="AG51" s="234">
        <v>-7.1186395778666672E-2</v>
      </c>
      <c r="AH51" s="234">
        <v>-4.7976411057666667E-2</v>
      </c>
      <c r="AI51" s="234">
        <v>-9.4741244093295415E-2</v>
      </c>
      <c r="AJ51" s="234">
        <v>-8.757307975389951E-2</v>
      </c>
      <c r="AK51" s="234">
        <v>-8.6830038994163597E-2</v>
      </c>
    </row>
    <row r="52" spans="2:37" hidden="1" x14ac:dyDescent="0.25">
      <c r="B52" s="258" t="s">
        <v>1265</v>
      </c>
      <c r="C52" s="256" t="s">
        <v>535</v>
      </c>
      <c r="D52" s="234">
        <v>3.3161586425352416</v>
      </c>
      <c r="E52" s="234">
        <v>3.3137452838725823</v>
      </c>
      <c r="F52" s="234">
        <v>3.3113991836099275</v>
      </c>
      <c r="G52" s="234">
        <v>3.3083545556758831</v>
      </c>
      <c r="H52" s="234">
        <v>3.3053064543084738</v>
      </c>
      <c r="I52" s="234">
        <v>3.3022541469077678</v>
      </c>
      <c r="J52" s="234">
        <v>3.29920663330706</v>
      </c>
      <c r="K52" s="234">
        <v>3.2961617798730218</v>
      </c>
      <c r="L52" s="234">
        <v>3.2931409203722923</v>
      </c>
      <c r="M52" s="234">
        <v>3.2900835636049117</v>
      </c>
      <c r="N52" s="234">
        <v>3.2870457289041983</v>
      </c>
      <c r="O52" s="234">
        <v>3.2835557909295234</v>
      </c>
      <c r="P52" s="234">
        <v>3.2800733545881831</v>
      </c>
      <c r="Q52" s="234">
        <v>3.2765905523135133</v>
      </c>
      <c r="R52" s="234">
        <v>3.2731611719055151</v>
      </c>
      <c r="S52" s="234">
        <v>3.269677236997504</v>
      </c>
      <c r="T52" s="234">
        <v>3.2661933020895009</v>
      </c>
      <c r="U52" s="234">
        <v>3.2627093671814986</v>
      </c>
      <c r="V52" s="234">
        <v>3.2592254322734964</v>
      </c>
      <c r="W52" s="234">
        <v>3.2557346473721549</v>
      </c>
      <c r="X52" s="234">
        <v>3.2507298215799549</v>
      </c>
      <c r="Y52" s="234">
        <v>3.2457249718810912</v>
      </c>
      <c r="Z52" s="234">
        <v>3.2407202057088904</v>
      </c>
      <c r="AA52" s="234">
        <v>3.2357157735700306</v>
      </c>
      <c r="AB52" s="234">
        <v>3.2307113395611666</v>
      </c>
      <c r="AC52" s="234">
        <v>3.2256980431456292</v>
      </c>
      <c r="AD52" s="234">
        <v>3.2206932971034288</v>
      </c>
      <c r="AE52" s="234">
        <v>3.2156881602679013</v>
      </c>
      <c r="AF52" s="234">
        <v>3.215679542757901</v>
      </c>
      <c r="AG52" s="234">
        <v>3.2156790074612345</v>
      </c>
      <c r="AH52" s="234">
        <v>3.2156576998012345</v>
      </c>
      <c r="AI52" s="234">
        <v>3.2156742463991077</v>
      </c>
      <c r="AJ52" s="234">
        <v>3.2156749682397816</v>
      </c>
      <c r="AK52" s="234">
        <v>3.2156754246710229</v>
      </c>
    </row>
    <row r="53" spans="2:37" ht="18" hidden="1" x14ac:dyDescent="0.35">
      <c r="B53" s="255" t="s">
        <v>1250</v>
      </c>
      <c r="C53" s="256" t="s">
        <v>1077</v>
      </c>
      <c r="D53" s="234">
        <v>3.6938489902874272</v>
      </c>
      <c r="E53" s="234">
        <v>3.6908189199993089</v>
      </c>
      <c r="F53" s="234">
        <v>3.6877888497111928</v>
      </c>
      <c r="G53" s="234">
        <v>3.6838702029279329</v>
      </c>
      <c r="H53" s="234">
        <v>3.679951556144637</v>
      </c>
      <c r="I53" s="234">
        <v>3.6760329093613771</v>
      </c>
      <c r="J53" s="234">
        <v>3.6721142625781158</v>
      </c>
      <c r="K53" s="234">
        <v>3.6681956157948572</v>
      </c>
      <c r="L53" s="234">
        <v>3.6642769690115751</v>
      </c>
      <c r="M53" s="234">
        <v>3.6603583222283071</v>
      </c>
      <c r="N53" s="234">
        <v>3.6564396754450401</v>
      </c>
      <c r="O53" s="234">
        <v>3.6519432014946722</v>
      </c>
      <c r="P53" s="234">
        <v>3.6474467275443039</v>
      </c>
      <c r="Q53" s="234">
        <v>3.6429502535939409</v>
      </c>
      <c r="R53" s="234">
        <v>3.638453779643573</v>
      </c>
      <c r="S53" s="234">
        <v>3.6339573056932051</v>
      </c>
      <c r="T53" s="234">
        <v>3.6294608317428372</v>
      </c>
      <c r="U53" s="234">
        <v>3.6249643577924742</v>
      </c>
      <c r="V53" s="234">
        <v>3.6204678838421058</v>
      </c>
      <c r="W53" s="234">
        <v>3.6159714098917379</v>
      </c>
      <c r="X53" s="234">
        <v>3.6094655780202212</v>
      </c>
      <c r="Y53" s="234">
        <v>3.602959746148704</v>
      </c>
      <c r="Z53" s="234">
        <v>3.5964539142771872</v>
      </c>
      <c r="AA53" s="234">
        <v>3.589948082405674</v>
      </c>
      <c r="AB53" s="234">
        <v>3.5834422505341572</v>
      </c>
      <c r="AC53" s="234">
        <v>3.57693641866264</v>
      </c>
      <c r="AD53" s="234">
        <v>3.5704305867911228</v>
      </c>
      <c r="AE53" s="234">
        <v>3.563924754919606</v>
      </c>
      <c r="AF53" s="234">
        <v>3.563924754919606</v>
      </c>
      <c r="AG53" s="234">
        <v>3.563924754919606</v>
      </c>
      <c r="AH53" s="234">
        <v>3.563924754919606</v>
      </c>
      <c r="AI53" s="234">
        <v>3.563924754919606</v>
      </c>
      <c r="AJ53" s="234">
        <v>3.563924754919606</v>
      </c>
      <c r="AK53" s="234">
        <v>3.563924754919606</v>
      </c>
    </row>
    <row r="54" spans="2:37" ht="18" hidden="1" x14ac:dyDescent="0.35">
      <c r="B54" s="255" t="s">
        <v>1253</v>
      </c>
      <c r="C54" s="256" t="s">
        <v>1077</v>
      </c>
      <c r="D54" s="234">
        <v>0.68696687418914493</v>
      </c>
      <c r="E54" s="234">
        <v>0.68638313067189793</v>
      </c>
      <c r="F54" s="234">
        <v>0.68579938715464739</v>
      </c>
      <c r="G54" s="234">
        <v>0.68504360216089966</v>
      </c>
      <c r="H54" s="234">
        <v>0.68428781716715192</v>
      </c>
      <c r="I54" s="234">
        <v>0.6835320321734043</v>
      </c>
      <c r="J54" s="234">
        <v>0.68277624717965668</v>
      </c>
      <c r="K54" s="234">
        <v>0.68202046218591261</v>
      </c>
      <c r="L54" s="234">
        <v>0.68126467719216499</v>
      </c>
      <c r="M54" s="234">
        <v>0.68050889219841726</v>
      </c>
      <c r="N54" s="234">
        <v>0.67975310720466964</v>
      </c>
      <c r="O54" s="234">
        <v>0.67888469068984303</v>
      </c>
      <c r="P54" s="234">
        <v>0.67801627417501631</v>
      </c>
      <c r="Q54" s="234">
        <v>0.67714785766018959</v>
      </c>
      <c r="R54" s="234">
        <v>0.67627944114536664</v>
      </c>
      <c r="S54" s="234">
        <v>0.67541102463053992</v>
      </c>
      <c r="T54" s="234">
        <v>0.67454260811571332</v>
      </c>
      <c r="U54" s="234">
        <v>0.6736741916008866</v>
      </c>
      <c r="V54" s="234">
        <v>0.67280577508606365</v>
      </c>
      <c r="W54" s="234">
        <v>0.67193735857123693</v>
      </c>
      <c r="X54" s="234">
        <v>0.67067873942900225</v>
      </c>
      <c r="Y54" s="234">
        <v>0.66942012028676767</v>
      </c>
      <c r="Z54" s="234">
        <v>0.66816150114453299</v>
      </c>
      <c r="AA54" s="234">
        <v>0.66690288200230197</v>
      </c>
      <c r="AB54" s="234">
        <v>0.66564426286006728</v>
      </c>
      <c r="AC54" s="234">
        <v>0.6643856437178326</v>
      </c>
      <c r="AD54" s="234">
        <v>0.66312702457559802</v>
      </c>
      <c r="AE54" s="234">
        <v>0.661868405433367</v>
      </c>
      <c r="AF54" s="234">
        <v>0.661868405433367</v>
      </c>
      <c r="AG54" s="234">
        <v>0.661868405433367</v>
      </c>
      <c r="AH54" s="234">
        <v>0.661868405433367</v>
      </c>
      <c r="AI54" s="234">
        <v>0.661868405433367</v>
      </c>
      <c r="AJ54" s="234">
        <v>0.661868405433367</v>
      </c>
      <c r="AK54" s="234">
        <v>0.661868405433367</v>
      </c>
    </row>
    <row r="55" spans="2:37" ht="18" hidden="1" x14ac:dyDescent="0.35">
      <c r="B55" s="255" t="s">
        <v>1254</v>
      </c>
      <c r="C55" s="256" t="s">
        <v>1077</v>
      </c>
      <c r="D55" s="234">
        <v>-1.5065157693696509</v>
      </c>
      <c r="E55" s="234">
        <v>-1.505008646702191</v>
      </c>
      <c r="F55" s="234">
        <v>-1.50350152403473</v>
      </c>
      <c r="G55" s="234">
        <v>-1.5015409346547099</v>
      </c>
      <c r="H55" s="234">
        <v>-1.4995803452746861</v>
      </c>
      <c r="I55" s="234">
        <v>-1.497619755894662</v>
      </c>
      <c r="J55" s="234">
        <v>-1.495659166514637</v>
      </c>
      <c r="K55" s="234">
        <v>-1.493698577134617</v>
      </c>
      <c r="L55" s="234">
        <v>-1.4917379877545931</v>
      </c>
      <c r="M55" s="234">
        <v>-1.489777398374569</v>
      </c>
      <c r="N55" s="234">
        <v>-1.4878168089945449</v>
      </c>
      <c r="O55" s="234">
        <v>-1.485551198895295</v>
      </c>
      <c r="P55" s="234">
        <v>-1.4832855887960401</v>
      </c>
      <c r="Q55" s="234">
        <v>-1.4810199786967899</v>
      </c>
      <c r="R55" s="234">
        <v>-1.4787543685975351</v>
      </c>
      <c r="S55" s="234">
        <v>-1.4764887584982851</v>
      </c>
      <c r="T55" s="234">
        <v>-1.47422314839903</v>
      </c>
      <c r="U55" s="234">
        <v>-1.47195753829978</v>
      </c>
      <c r="V55" s="234">
        <v>-1.469691928200525</v>
      </c>
      <c r="W55" s="234">
        <v>-1.467426318101275</v>
      </c>
      <c r="X55" s="234">
        <v>-1.464119692021884</v>
      </c>
      <c r="Y55" s="234">
        <v>-1.460813065942494</v>
      </c>
      <c r="Z55" s="234">
        <v>-1.4575064398631039</v>
      </c>
      <c r="AA55" s="234">
        <v>-1.4541998137837131</v>
      </c>
      <c r="AB55" s="234">
        <v>-1.450893187704323</v>
      </c>
      <c r="AC55" s="234">
        <v>-1.4475865616249359</v>
      </c>
      <c r="AD55" s="234">
        <v>-1.444279935545546</v>
      </c>
      <c r="AE55" s="234">
        <v>-1.4409733094661561</v>
      </c>
      <c r="AF55" s="234">
        <v>-1.4409733094661561</v>
      </c>
      <c r="AG55" s="234">
        <v>-1.4409733094661561</v>
      </c>
      <c r="AH55" s="234">
        <v>-1.4409733094661561</v>
      </c>
      <c r="AI55" s="234">
        <v>-1.4409733094661561</v>
      </c>
      <c r="AJ55" s="234">
        <v>-1.4409733094661561</v>
      </c>
      <c r="AK55" s="234">
        <v>-1.4409733094661561</v>
      </c>
    </row>
    <row r="56" spans="2:37" ht="18" hidden="1" x14ac:dyDescent="0.35">
      <c r="B56" s="255" t="s">
        <v>1255</v>
      </c>
      <c r="C56" s="256" t="s">
        <v>1077</v>
      </c>
      <c r="D56" s="234">
        <v>0.44197451162832002</v>
      </c>
      <c r="E56" s="234">
        <v>0.44170833290356659</v>
      </c>
      <c r="F56" s="234">
        <v>0.44144215417881699</v>
      </c>
      <c r="G56" s="234">
        <v>0.44110200214176071</v>
      </c>
      <c r="H56" s="234">
        <v>0.44076185010470431</v>
      </c>
      <c r="I56" s="234">
        <v>0.44042169806764803</v>
      </c>
      <c r="J56" s="234">
        <v>0.44008154603059169</v>
      </c>
      <c r="K56" s="234">
        <v>0.43974139399353529</v>
      </c>
      <c r="L56" s="234">
        <v>0.43940124195647889</v>
      </c>
      <c r="M56" s="234">
        <v>0.43906108991942261</v>
      </c>
      <c r="N56" s="234">
        <v>0.43872093788236632</v>
      </c>
      <c r="O56" s="234">
        <v>0.43833628334030328</v>
      </c>
      <c r="P56" s="234">
        <v>0.43795162879823663</v>
      </c>
      <c r="Q56" s="234">
        <v>0.43756697425617358</v>
      </c>
      <c r="R56" s="234">
        <v>0.43718231971411059</v>
      </c>
      <c r="S56" s="234">
        <v>0.43679766517204399</v>
      </c>
      <c r="T56" s="234">
        <v>0.436413010629981</v>
      </c>
      <c r="U56" s="234">
        <v>0.43602835608791801</v>
      </c>
      <c r="V56" s="234">
        <v>0.4356437015458513</v>
      </c>
      <c r="W56" s="234">
        <v>0.43525904700378831</v>
      </c>
      <c r="X56" s="234">
        <v>0.43471264945928229</v>
      </c>
      <c r="Y56" s="234">
        <v>0.43416625191477998</v>
      </c>
      <c r="Z56" s="234">
        <v>0.433619854370274</v>
      </c>
      <c r="AA56" s="234">
        <v>0.43307345682576798</v>
      </c>
      <c r="AB56" s="234">
        <v>0.43252705928126572</v>
      </c>
      <c r="AC56" s="234">
        <v>0.43198066173675959</v>
      </c>
      <c r="AD56" s="234">
        <v>0.43143426419225372</v>
      </c>
      <c r="AE56" s="234">
        <v>0.43088786664775131</v>
      </c>
      <c r="AF56" s="234">
        <v>0.43088786664775131</v>
      </c>
      <c r="AG56" s="234">
        <v>0.43088786664775131</v>
      </c>
      <c r="AH56" s="234">
        <v>0.43088786664775131</v>
      </c>
      <c r="AI56" s="234">
        <v>0.43088786664775131</v>
      </c>
      <c r="AJ56" s="234">
        <v>0.43088786664775131</v>
      </c>
      <c r="AK56" s="234">
        <v>0.43088786664775131</v>
      </c>
    </row>
    <row r="57" spans="2:37" ht="18" hidden="1" x14ac:dyDescent="0.35">
      <c r="B57" s="255" t="s">
        <v>1251</v>
      </c>
      <c r="C57" s="256" t="s">
        <v>1077</v>
      </c>
      <c r="D57" s="234">
        <v>-1.159642E-4</v>
      </c>
      <c r="E57" s="234">
        <v>-1.56453E-4</v>
      </c>
      <c r="F57" s="234">
        <v>-1.2968340000000001E-4</v>
      </c>
      <c r="G57" s="234">
        <v>-1.203169E-4</v>
      </c>
      <c r="H57" s="234">
        <v>-1.144238333333333E-4</v>
      </c>
      <c r="I57" s="234">
        <v>-1.127368E-4</v>
      </c>
      <c r="J57" s="234">
        <v>-1.0625596666666669E-4</v>
      </c>
      <c r="K57" s="234">
        <v>-9.7114966666666668E-5</v>
      </c>
      <c r="L57" s="234">
        <v>-6.3980033333333321E-5</v>
      </c>
      <c r="M57" s="234">
        <v>-6.7342366666666667E-5</v>
      </c>
      <c r="N57" s="234">
        <v>-5.1182633333333327E-5</v>
      </c>
      <c r="O57" s="234">
        <v>-5.7185699999999997E-5</v>
      </c>
      <c r="P57" s="234">
        <v>-5.5687133333333331E-5</v>
      </c>
      <c r="Q57" s="234">
        <v>-5.4554500000000001E-5</v>
      </c>
      <c r="R57" s="234">
        <v>0</v>
      </c>
      <c r="S57" s="234">
        <v>0</v>
      </c>
      <c r="T57" s="234">
        <v>0</v>
      </c>
      <c r="U57" s="234">
        <v>0</v>
      </c>
      <c r="V57" s="234">
        <v>0</v>
      </c>
      <c r="W57" s="234">
        <v>-6.8499933333333336E-6</v>
      </c>
      <c r="X57" s="234">
        <v>-7.4533066666666671E-6</v>
      </c>
      <c r="Y57" s="234">
        <v>-8.0805266666666657E-6</v>
      </c>
      <c r="Z57" s="234">
        <v>-8.6242199999999992E-6</v>
      </c>
      <c r="AA57" s="234">
        <v>-8.8338799999999988E-6</v>
      </c>
      <c r="AB57" s="234">
        <v>-9.0454100000000005E-6</v>
      </c>
      <c r="AC57" s="234">
        <v>-1.811934666666666E-5</v>
      </c>
      <c r="AD57" s="234">
        <v>-1.8642910000000001E-5</v>
      </c>
      <c r="AE57" s="234">
        <v>-1.955726666666666E-5</v>
      </c>
      <c r="AF57" s="234">
        <v>-2.8174776666666661E-5</v>
      </c>
      <c r="AG57" s="234">
        <v>-2.8710073333333331E-5</v>
      </c>
      <c r="AH57" s="234">
        <v>-5.0017733333333327E-5</v>
      </c>
      <c r="AI57" s="234">
        <v>-3.3471135460059001E-5</v>
      </c>
      <c r="AJ57" s="234">
        <v>-3.2749294786449043E-5</v>
      </c>
      <c r="AK57" s="234">
        <v>-3.2292863544791001E-5</v>
      </c>
    </row>
    <row r="58" spans="2:37" hidden="1" x14ac:dyDescent="0.25">
      <c r="B58" s="259" t="s">
        <v>1266</v>
      </c>
      <c r="C58" s="256" t="s">
        <v>535</v>
      </c>
      <c r="D58" s="234">
        <v>-6.8628496761545171E-2</v>
      </c>
      <c r="E58" s="234">
        <v>-0.267754278682163</v>
      </c>
      <c r="F58" s="234">
        <v>-0.14972091046936181</v>
      </c>
      <c r="G58" s="234">
        <v>-0.45659622140332656</v>
      </c>
      <c r="H58" s="234">
        <v>-0.58529341413572378</v>
      </c>
      <c r="I58" s="234">
        <v>-0.49903455454537093</v>
      </c>
      <c r="J58" s="234">
        <v>-0.3802982393178701</v>
      </c>
      <c r="K58" s="234">
        <v>-0.48163398264503454</v>
      </c>
      <c r="L58" s="234">
        <v>-0.46722025897035352</v>
      </c>
      <c r="M58" s="234">
        <v>-0.46143405980793606</v>
      </c>
      <c r="N58" s="234">
        <v>-0.47559712535607179</v>
      </c>
      <c r="O58" s="234">
        <v>-0.64592467511444407</v>
      </c>
      <c r="P58" s="234">
        <v>-0.42126232753964238</v>
      </c>
      <c r="Q58" s="234">
        <v>-0.42532259822960633</v>
      </c>
      <c r="R58" s="234">
        <v>-0.5160458741236873</v>
      </c>
      <c r="S58" s="234">
        <v>-0.46234777259273124</v>
      </c>
      <c r="T58" s="234">
        <v>-0.45770550811495725</v>
      </c>
      <c r="U58" s="234">
        <v>-0.46756431149867528</v>
      </c>
      <c r="V58" s="234">
        <v>-0.47903738705227372</v>
      </c>
      <c r="W58" s="234">
        <v>-0.71729765682432312</v>
      </c>
      <c r="X58" s="234">
        <v>-0.55977552141962461</v>
      </c>
      <c r="Y58" s="234">
        <v>-0.50150918062828198</v>
      </c>
      <c r="Z58" s="234">
        <v>-0.61045765765741788</v>
      </c>
      <c r="AA58" s="234">
        <v>-0.74996135366302186</v>
      </c>
      <c r="AB58" s="234">
        <v>-0.52848332531053566</v>
      </c>
      <c r="AC58" s="234">
        <v>-0.91429646077287374</v>
      </c>
      <c r="AD58" s="234">
        <v>-0.76021306132749888</v>
      </c>
      <c r="AE58" s="234">
        <v>-0.66646018409929886</v>
      </c>
      <c r="AF58" s="234">
        <v>-0.84530295356593743</v>
      </c>
      <c r="AG58" s="234">
        <v>-0.87238425050248858</v>
      </c>
      <c r="AH58" s="234">
        <v>-0.96473728723204966</v>
      </c>
      <c r="AI58" s="234">
        <v>-0.81406313214812043</v>
      </c>
      <c r="AJ58" s="234">
        <v>-0.82218191413764219</v>
      </c>
      <c r="AK58" s="234">
        <v>-0.84453649458530844</v>
      </c>
    </row>
    <row r="59" spans="2:37" ht="18" hidden="1" x14ac:dyDescent="0.35">
      <c r="B59" s="255" t="s">
        <v>1250</v>
      </c>
      <c r="C59" s="256" t="s">
        <v>1077</v>
      </c>
      <c r="D59" s="234">
        <v>-4.9040278755053289E-3</v>
      </c>
      <c r="E59" s="234">
        <v>-0.12675040605313229</v>
      </c>
      <c r="F59" s="234">
        <v>-5.3176674306737804E-3</v>
      </c>
      <c r="G59" s="234">
        <v>-0.22835478500162679</v>
      </c>
      <c r="H59" s="234">
        <v>-0.27450958437101242</v>
      </c>
      <c r="I59" s="234">
        <v>-0.18220856475098141</v>
      </c>
      <c r="J59" s="234">
        <v>-5.8075056160468923E-2</v>
      </c>
      <c r="K59" s="234">
        <v>-0.15931597279128831</v>
      </c>
      <c r="L59" s="234">
        <v>-0.1042841557535957</v>
      </c>
      <c r="M59" s="234">
        <v>-9.1210229894833308E-2</v>
      </c>
      <c r="N59" s="234">
        <v>-9.8955302079957425E-2</v>
      </c>
      <c r="O59" s="234">
        <v>-0.25303291128582212</v>
      </c>
      <c r="P59" s="234">
        <v>-1.5699289825179541E-2</v>
      </c>
      <c r="Q59" s="234">
        <v>-1.0707286629302541E-2</v>
      </c>
      <c r="R59" s="234">
        <v>-6.064328863754271E-2</v>
      </c>
      <c r="S59" s="234">
        <v>-7.7929132207456781E-3</v>
      </c>
      <c r="T59" s="234">
        <v>-2.3850415237973979E-3</v>
      </c>
      <c r="U59" s="234">
        <v>-7.7895710216745262E-3</v>
      </c>
      <c r="V59" s="234">
        <v>-1.44417060227655E-2</v>
      </c>
      <c r="W59" s="234">
        <v>-0.15583303524230729</v>
      </c>
      <c r="X59" s="234">
        <v>-1.130011208176154E-3</v>
      </c>
      <c r="Y59" s="234">
        <v>-1.0692404120734069E-2</v>
      </c>
      <c r="Z59" s="234">
        <v>-6.5313481871040217E-3</v>
      </c>
      <c r="AA59" s="234">
        <v>-0.17744827789660861</v>
      </c>
      <c r="AB59" s="234">
        <v>-6.1106165813565386E-3</v>
      </c>
      <c r="AC59" s="234">
        <v>-0.26227835908092861</v>
      </c>
      <c r="AD59" s="234">
        <v>-1.192782000612104E-2</v>
      </c>
      <c r="AE59" s="234">
        <v>-1.1129831484883281E-3</v>
      </c>
      <c r="AF59" s="234">
        <v>-0.21391781261512699</v>
      </c>
      <c r="AG59" s="234">
        <v>-0.23980194288501139</v>
      </c>
      <c r="AH59" s="234">
        <v>-0.25517074628123931</v>
      </c>
      <c r="AI59" s="234">
        <v>-0.26434331438641873</v>
      </c>
      <c r="AJ59" s="234">
        <v>-0.26984276556102071</v>
      </c>
      <c r="AK59" s="234">
        <v>-0.27315363984209079</v>
      </c>
    </row>
    <row r="60" spans="2:37" ht="18" hidden="1" x14ac:dyDescent="0.35">
      <c r="B60" s="255" t="s">
        <v>1253</v>
      </c>
      <c r="C60" s="256" t="s">
        <v>1077</v>
      </c>
      <c r="D60" s="234">
        <v>-1.2903057373477519E-4</v>
      </c>
      <c r="E60" s="234">
        <v>-1.2890685713952491E-4</v>
      </c>
      <c r="F60" s="234">
        <v>-1.2878314054427469E-4</v>
      </c>
      <c r="G60" s="234">
        <v>-1.2862238627064129E-4</v>
      </c>
      <c r="H60" s="234">
        <v>-1.284616319970078E-4</v>
      </c>
      <c r="I60" s="234">
        <v>-1.283008777233748E-4</v>
      </c>
      <c r="J60" s="234">
        <v>-1.2814012344974129E-4</v>
      </c>
      <c r="K60" s="234">
        <v>-1.2797936917610829E-4</v>
      </c>
      <c r="L60" s="234">
        <v>-1.2781861490247481E-4</v>
      </c>
      <c r="M60" s="234">
        <v>-1.2765786062884181E-4</v>
      </c>
      <c r="N60" s="234">
        <v>-1.2749710635520829E-4</v>
      </c>
      <c r="O60" s="234">
        <v>-1.273115992283065E-4</v>
      </c>
      <c r="P60" s="234">
        <v>-1.2712609210140441E-4</v>
      </c>
      <c r="Q60" s="234">
        <v>-1.269405849745026E-4</v>
      </c>
      <c r="R60" s="234">
        <v>-1.267550778476004E-4</v>
      </c>
      <c r="S60" s="234">
        <v>-1.2656957072069861E-4</v>
      </c>
      <c r="T60" s="234">
        <v>-1.2638406359379679E-4</v>
      </c>
      <c r="U60" s="234">
        <v>-1.2619855646689459E-4</v>
      </c>
      <c r="V60" s="234">
        <v>-1.260130493399928E-4</v>
      </c>
      <c r="W60" s="234">
        <v>-1.2582754221309071E-4</v>
      </c>
      <c r="X60" s="234">
        <v>-1.2555725457477E-4</v>
      </c>
      <c r="Y60" s="234">
        <v>-1.2528696693644891E-4</v>
      </c>
      <c r="Z60" s="234">
        <v>-1.250166792981282E-4</v>
      </c>
      <c r="AA60" s="234">
        <v>-1.2474639165980711E-4</v>
      </c>
      <c r="AB60" s="234">
        <v>-1.244761040214864E-4</v>
      </c>
      <c r="AC60" s="234">
        <v>-1.2420581638316529E-4</v>
      </c>
      <c r="AD60" s="234">
        <v>-1.2393552874484471E-4</v>
      </c>
      <c r="AE60" s="234">
        <v>-1.236652411065236E-4</v>
      </c>
      <c r="AF60" s="234">
        <v>-1.236652411065236E-4</v>
      </c>
      <c r="AG60" s="234">
        <v>-1.236652411065236E-4</v>
      </c>
      <c r="AH60" s="234">
        <v>-1.236652411065236E-4</v>
      </c>
      <c r="AI60" s="234">
        <v>-1.236652411065236E-4</v>
      </c>
      <c r="AJ60" s="234">
        <v>-1.236652411065236E-4</v>
      </c>
      <c r="AK60" s="234">
        <v>-1.236652411065236E-4</v>
      </c>
    </row>
    <row r="61" spans="2:37" ht="18" hidden="1" x14ac:dyDescent="0.35">
      <c r="B61" s="255" t="s">
        <v>1254</v>
      </c>
      <c r="C61" s="256" t="s">
        <v>1077</v>
      </c>
      <c r="D61" s="234">
        <v>-1.6955159921070689E-3</v>
      </c>
      <c r="E61" s="234">
        <v>-1.693890304026606E-3</v>
      </c>
      <c r="F61" s="234">
        <v>-1.6922646159461419E-3</v>
      </c>
      <c r="G61" s="234">
        <v>-1.690152237198568E-3</v>
      </c>
      <c r="H61" s="234">
        <v>-1.688039858450994E-3</v>
      </c>
      <c r="I61" s="234">
        <v>-1.685927479703419E-3</v>
      </c>
      <c r="J61" s="234">
        <v>-1.6838151009558411E-3</v>
      </c>
      <c r="K61" s="234">
        <v>-1.6817027222082669E-3</v>
      </c>
      <c r="L61" s="234">
        <v>-1.6795903434606929E-3</v>
      </c>
      <c r="M61" s="234">
        <v>-1.6774779647131179E-3</v>
      </c>
      <c r="N61" s="234">
        <v>-1.67536558596554E-3</v>
      </c>
      <c r="O61" s="234">
        <v>-1.6729279443182311E-3</v>
      </c>
      <c r="P61" s="234">
        <v>-1.6704903026709219E-3</v>
      </c>
      <c r="Q61" s="234">
        <v>-1.668052661023613E-3</v>
      </c>
      <c r="R61" s="234">
        <v>-1.665615019376304E-3</v>
      </c>
      <c r="S61" s="234">
        <v>-1.6631773777289951E-3</v>
      </c>
      <c r="T61" s="234">
        <v>-1.6607397360816861E-3</v>
      </c>
      <c r="U61" s="234">
        <v>-1.6583020944343769E-3</v>
      </c>
      <c r="V61" s="234">
        <v>-1.655864452787068E-3</v>
      </c>
      <c r="W61" s="234">
        <v>-1.653426811139759E-3</v>
      </c>
      <c r="X61" s="234">
        <v>-1.6498751179249091E-3</v>
      </c>
      <c r="Y61" s="234">
        <v>-1.6463234247100591E-3</v>
      </c>
      <c r="Z61" s="234">
        <v>-1.6427717314952089E-3</v>
      </c>
      <c r="AA61" s="234">
        <v>-1.6392200382803631E-3</v>
      </c>
      <c r="AB61" s="234">
        <v>-1.6356683450655129E-3</v>
      </c>
      <c r="AC61" s="234">
        <v>-1.6321166518506629E-3</v>
      </c>
      <c r="AD61" s="234">
        <v>-1.628564958635813E-3</v>
      </c>
      <c r="AE61" s="234">
        <v>-1.625013265420963E-3</v>
      </c>
      <c r="AF61" s="234">
        <v>-1.625013265420963E-3</v>
      </c>
      <c r="AG61" s="234">
        <v>-1.625013265420963E-3</v>
      </c>
      <c r="AH61" s="234">
        <v>-1.625013265420963E-3</v>
      </c>
      <c r="AI61" s="234">
        <v>-1.625013265420963E-3</v>
      </c>
      <c r="AJ61" s="234">
        <v>-1.625013265420963E-3</v>
      </c>
      <c r="AK61" s="234">
        <v>-1.625013265420963E-3</v>
      </c>
    </row>
    <row r="62" spans="2:37" ht="18" hidden="1" x14ac:dyDescent="0.35">
      <c r="B62" s="255" t="s">
        <v>1255</v>
      </c>
      <c r="C62" s="256" t="s">
        <v>1077</v>
      </c>
      <c r="D62" s="234">
        <v>-1.230877986864669E-3</v>
      </c>
      <c r="E62" s="234">
        <v>-1.2296978011978479E-3</v>
      </c>
      <c r="F62" s="234">
        <v>-1.228517615531026E-3</v>
      </c>
      <c r="G62" s="234">
        <v>-1.226984111563848E-3</v>
      </c>
      <c r="H62" s="234">
        <v>-1.225450607596669E-3</v>
      </c>
      <c r="I62" s="234">
        <v>-1.223917103629491E-3</v>
      </c>
      <c r="J62" s="234">
        <v>-1.2223835996623129E-3</v>
      </c>
      <c r="K62" s="234">
        <v>-1.2208500956951351E-3</v>
      </c>
      <c r="L62" s="234">
        <v>-1.2193165917279559E-3</v>
      </c>
      <c r="M62" s="234">
        <v>-1.2177830877607781E-3</v>
      </c>
      <c r="N62" s="234">
        <v>-1.2162495837935959E-3</v>
      </c>
      <c r="O62" s="234">
        <v>-1.2144799517420531E-3</v>
      </c>
      <c r="P62" s="234">
        <v>-1.2127103196905109E-3</v>
      </c>
      <c r="Q62" s="234">
        <v>-1.2109406876389681E-3</v>
      </c>
      <c r="R62" s="234">
        <v>-1.209171055587422E-3</v>
      </c>
      <c r="S62" s="234">
        <v>-1.207401423535879E-3</v>
      </c>
      <c r="T62" s="234">
        <v>-1.2056317914843359E-3</v>
      </c>
      <c r="U62" s="234">
        <v>-1.203862159432794E-3</v>
      </c>
      <c r="V62" s="234">
        <v>-1.2020925273812471E-3</v>
      </c>
      <c r="W62" s="234">
        <v>-1.2003228953297051E-3</v>
      </c>
      <c r="X62" s="234">
        <v>-1.197744505615537E-3</v>
      </c>
      <c r="Y62" s="234">
        <v>-1.1951661159013689E-3</v>
      </c>
      <c r="Z62" s="234">
        <v>-1.1925877261872049E-3</v>
      </c>
      <c r="AA62" s="234">
        <v>-1.1900093364730379E-3</v>
      </c>
      <c r="AB62" s="234">
        <v>-1.18743094675887E-3</v>
      </c>
      <c r="AC62" s="234">
        <v>-1.1848525570447019E-3</v>
      </c>
      <c r="AD62" s="234">
        <v>-1.1822741673305349E-3</v>
      </c>
      <c r="AE62" s="234">
        <v>-1.1796957776163671E-3</v>
      </c>
      <c r="AF62" s="234">
        <v>-1.1796957776163671E-3</v>
      </c>
      <c r="AG62" s="234">
        <v>-1.1796957776163671E-3</v>
      </c>
      <c r="AH62" s="234">
        <v>-1.1796957776163671E-3</v>
      </c>
      <c r="AI62" s="234">
        <v>-1.1796957776163671E-3</v>
      </c>
      <c r="AJ62" s="234">
        <v>-1.1796957776163671E-3</v>
      </c>
      <c r="AK62" s="234">
        <v>-1.1796957776163671E-3</v>
      </c>
    </row>
    <row r="63" spans="2:37" ht="18" hidden="1" x14ac:dyDescent="0.35">
      <c r="B63" s="255" t="s">
        <v>1251</v>
      </c>
      <c r="C63" s="256" t="s">
        <v>1077</v>
      </c>
      <c r="D63" s="234">
        <v>-6.0669044333333332E-2</v>
      </c>
      <c r="E63" s="234">
        <v>-0.13795137766666671</v>
      </c>
      <c r="F63" s="234">
        <v>-0.14135367766666659</v>
      </c>
      <c r="G63" s="234">
        <v>-0.2251956776666667</v>
      </c>
      <c r="H63" s="234">
        <v>-0.30774187766666672</v>
      </c>
      <c r="I63" s="234">
        <v>-0.31378784433333329</v>
      </c>
      <c r="J63" s="234">
        <v>-0.31918884433333328</v>
      </c>
      <c r="K63" s="234">
        <v>-0.31928747766666671</v>
      </c>
      <c r="L63" s="234">
        <v>-0.3599093776666667</v>
      </c>
      <c r="M63" s="234">
        <v>-0.36720091100000002</v>
      </c>
      <c r="N63" s="234">
        <v>-0.373622711</v>
      </c>
      <c r="O63" s="234">
        <v>-0.38987704433333342</v>
      </c>
      <c r="P63" s="234">
        <v>-0.40255271100000001</v>
      </c>
      <c r="Q63" s="234">
        <v>-0.41160937766666672</v>
      </c>
      <c r="R63" s="234">
        <v>-0.45240104433333328</v>
      </c>
      <c r="S63" s="234">
        <v>-0.45155771099999997</v>
      </c>
      <c r="T63" s="234">
        <v>-0.45232771100000002</v>
      </c>
      <c r="U63" s="234">
        <v>-0.45678637766666669</v>
      </c>
      <c r="V63" s="234">
        <v>-0.46161171099999992</v>
      </c>
      <c r="W63" s="234">
        <v>-0.55848504433333324</v>
      </c>
      <c r="X63" s="234">
        <v>-0.55567233333333321</v>
      </c>
      <c r="Y63" s="234">
        <v>-0.48785000000000001</v>
      </c>
      <c r="Z63" s="234">
        <v>-0.60096593333333337</v>
      </c>
      <c r="AA63" s="234">
        <v>-0.56955909999999998</v>
      </c>
      <c r="AB63" s="234">
        <v>-0.51942513333333329</v>
      </c>
      <c r="AC63" s="234">
        <v>-0.64907692666666661</v>
      </c>
      <c r="AD63" s="234">
        <v>-0.7453504666666666</v>
      </c>
      <c r="AE63" s="234">
        <v>-0.66241882666666663</v>
      </c>
      <c r="AF63" s="234">
        <v>-0.62845676666666661</v>
      </c>
      <c r="AG63" s="234">
        <v>-0.6296539333333333</v>
      </c>
      <c r="AH63" s="234">
        <v>-0.70663816666666657</v>
      </c>
      <c r="AI63" s="234">
        <v>-0.54679144347755793</v>
      </c>
      <c r="AJ63" s="234">
        <v>-0.54941077429247764</v>
      </c>
      <c r="AK63" s="234">
        <v>-0.56845448045907376</v>
      </c>
    </row>
    <row r="64" spans="2:37" hidden="1" x14ac:dyDescent="0.25">
      <c r="B64" s="259" t="s">
        <v>1267</v>
      </c>
      <c r="C64" s="256" t="s">
        <v>535</v>
      </c>
      <c r="D64" s="234">
        <v>-0.20971262434216173</v>
      </c>
      <c r="E64" s="234">
        <v>-0.21427576664653933</v>
      </c>
      <c r="F64" s="234">
        <v>-0.21033315480383297</v>
      </c>
      <c r="G64" s="234">
        <v>-0.21048933860813093</v>
      </c>
      <c r="H64" s="234">
        <v>-0.29296300686729854</v>
      </c>
      <c r="I64" s="234">
        <v>-0.21494422505465255</v>
      </c>
      <c r="J64" s="234">
        <v>-0.27009954013966558</v>
      </c>
      <c r="K64" s="234">
        <v>-0.21831153795602404</v>
      </c>
      <c r="L64" s="234">
        <v>-0.28294653742539</v>
      </c>
      <c r="M64" s="234">
        <v>-0.23307677879745017</v>
      </c>
      <c r="N64" s="234">
        <v>-0.25516226351024152</v>
      </c>
      <c r="O64" s="234">
        <v>-0.22310549508344379</v>
      </c>
      <c r="P64" s="234">
        <v>-0.22246213517408292</v>
      </c>
      <c r="Q64" s="234">
        <v>-0.21386006016320228</v>
      </c>
      <c r="R64" s="234">
        <v>-0.21991103911279722</v>
      </c>
      <c r="S64" s="234">
        <v>-0.21519499839763426</v>
      </c>
      <c r="T64" s="234">
        <v>-0.21513688365164654</v>
      </c>
      <c r="U64" s="234">
        <v>-0.22212176231129485</v>
      </c>
      <c r="V64" s="234">
        <v>-0.21650049437712057</v>
      </c>
      <c r="W64" s="234">
        <v>-0.21480705471238873</v>
      </c>
      <c r="X64" s="234">
        <v>-0.21571654796853984</v>
      </c>
      <c r="Y64" s="234">
        <v>-0.21301213260105367</v>
      </c>
      <c r="Z64" s="234">
        <v>-0.21692295841689377</v>
      </c>
      <c r="AA64" s="234">
        <v>-0.23373267048971874</v>
      </c>
      <c r="AB64" s="234">
        <v>-0.21124178300071775</v>
      </c>
      <c r="AC64" s="234">
        <v>-0.21683647171171674</v>
      </c>
      <c r="AD64" s="234">
        <v>-0.21690227826848016</v>
      </c>
      <c r="AE64" s="234">
        <v>-0.22679111526908258</v>
      </c>
      <c r="AF64" s="234">
        <v>-0.2129361594118791</v>
      </c>
      <c r="AG64" s="234">
        <v>-0.21770871258953503</v>
      </c>
      <c r="AH64" s="234">
        <v>-0.2147823097284168</v>
      </c>
      <c r="AI64" s="234">
        <v>-0.21534007380789494</v>
      </c>
      <c r="AJ64" s="234">
        <v>-0.21560993575835841</v>
      </c>
      <c r="AK64" s="234">
        <v>-0.21593604694663654</v>
      </c>
    </row>
    <row r="65" spans="2:37" ht="18" hidden="1" x14ac:dyDescent="0.35">
      <c r="B65" s="255" t="s">
        <v>1250</v>
      </c>
      <c r="C65" s="256" t="s">
        <v>1077</v>
      </c>
      <c r="D65" s="234">
        <v>-0.1205850378906804</v>
      </c>
      <c r="E65" s="234">
        <v>-0.1242121820849587</v>
      </c>
      <c r="F65" s="234">
        <v>-0.1203538001321531</v>
      </c>
      <c r="G65" s="234">
        <v>-0.1206194301650821</v>
      </c>
      <c r="H65" s="234">
        <v>-0.201607859986214</v>
      </c>
      <c r="I65" s="234">
        <v>-0.123275574402199</v>
      </c>
      <c r="J65" s="234">
        <v>-0.17797354238250979</v>
      </c>
      <c r="K65" s="234">
        <v>-0.1254247030941659</v>
      </c>
      <c r="L65" s="234">
        <v>-0.1900065321254962</v>
      </c>
      <c r="M65" s="234">
        <v>-0.13967942639285399</v>
      </c>
      <c r="N65" s="234">
        <v>-0.16115404066760969</v>
      </c>
      <c r="O65" s="234">
        <v>-0.12854340427193239</v>
      </c>
      <c r="P65" s="234">
        <v>-0.12642745639369199</v>
      </c>
      <c r="Q65" s="234">
        <v>-0.1186318467472651</v>
      </c>
      <c r="R65" s="234">
        <v>-0.12344882772798051</v>
      </c>
      <c r="S65" s="234">
        <v>-0.11874655571060461</v>
      </c>
      <c r="T65" s="234">
        <v>-0.119034629662404</v>
      </c>
      <c r="U65" s="234">
        <v>-0.1247744736865061</v>
      </c>
      <c r="V65" s="234">
        <v>-0.1190126077834523</v>
      </c>
      <c r="W65" s="234">
        <v>-0.1175916568165075</v>
      </c>
      <c r="X65" s="234">
        <v>-0.1185866464981236</v>
      </c>
      <c r="Y65" s="234">
        <v>-0.1170864642227694</v>
      </c>
      <c r="Z65" s="234">
        <v>-0.12016076866407439</v>
      </c>
      <c r="AA65" s="234">
        <v>-0.11658127162903099</v>
      </c>
      <c r="AB65" s="234">
        <v>-0.116328675332162</v>
      </c>
      <c r="AC65" s="234">
        <v>-0.1160760790352926</v>
      </c>
      <c r="AD65" s="234">
        <v>-0.1216911238175209</v>
      </c>
      <c r="AE65" s="234">
        <v>-0.115986748776922</v>
      </c>
      <c r="AF65" s="234">
        <v>-0.11911285958638521</v>
      </c>
      <c r="AG65" s="234">
        <v>-0.1198766094307078</v>
      </c>
      <c r="AH65" s="234">
        <v>-0.1203906069029229</v>
      </c>
      <c r="AI65" s="234">
        <v>-0.120738410657864</v>
      </c>
      <c r="AJ65" s="234">
        <v>-0.12097490079421271</v>
      </c>
      <c r="AK65" s="234">
        <v>-0.1211364131416275</v>
      </c>
    </row>
    <row r="66" spans="2:37" ht="18" hidden="1" x14ac:dyDescent="0.35">
      <c r="B66" s="255" t="s">
        <v>1253</v>
      </c>
      <c r="C66" s="256" t="s">
        <v>1077</v>
      </c>
      <c r="D66" s="234">
        <v>-1.646516585869005E-2</v>
      </c>
      <c r="E66" s="234">
        <v>-1.6449378792095629E-2</v>
      </c>
      <c r="F66" s="234">
        <v>-1.6433591725501209E-2</v>
      </c>
      <c r="G66" s="234">
        <v>-1.6413078402950969E-2</v>
      </c>
      <c r="H66" s="234">
        <v>-1.6392565080400701E-2</v>
      </c>
      <c r="I66" s="234">
        <v>-1.6372051757850468E-2</v>
      </c>
      <c r="J66" s="234">
        <v>-1.6351538435300201E-2</v>
      </c>
      <c r="K66" s="234">
        <v>-1.6331025112749961E-2</v>
      </c>
      <c r="L66" s="234">
        <v>-1.6310511790199701E-2</v>
      </c>
      <c r="M66" s="234">
        <v>-1.6289998467649461E-2</v>
      </c>
      <c r="N66" s="234">
        <v>-1.6269485145099231E-2</v>
      </c>
      <c r="O66" s="234">
        <v>-1.624581319259991E-2</v>
      </c>
      <c r="P66" s="234">
        <v>-1.6222141240100581E-2</v>
      </c>
      <c r="Q66" s="234">
        <v>-1.6198469287601259E-2</v>
      </c>
      <c r="R66" s="234">
        <v>-1.617479733510194E-2</v>
      </c>
      <c r="S66" s="234">
        <v>-1.6151125382602612E-2</v>
      </c>
      <c r="T66" s="234">
        <v>-1.612745343010329E-2</v>
      </c>
      <c r="U66" s="234">
        <v>-1.6103781477603971E-2</v>
      </c>
      <c r="V66" s="234">
        <v>-1.6080109525104639E-2</v>
      </c>
      <c r="W66" s="234">
        <v>-1.6056437572605321E-2</v>
      </c>
      <c r="X66" s="234">
        <v>-1.6021947058724052E-2</v>
      </c>
      <c r="Y66" s="234">
        <v>-1.598745654484279E-2</v>
      </c>
      <c r="Z66" s="234">
        <v>-1.5952966030961521E-2</v>
      </c>
      <c r="AA66" s="234">
        <v>-1.5918475517080252E-2</v>
      </c>
      <c r="AB66" s="234">
        <v>-1.5883985003198989E-2</v>
      </c>
      <c r="AC66" s="234">
        <v>-1.584949448931772E-2</v>
      </c>
      <c r="AD66" s="234">
        <v>-1.5815003975436451E-2</v>
      </c>
      <c r="AE66" s="234">
        <v>-1.5780513461555189E-2</v>
      </c>
      <c r="AF66" s="234">
        <v>-1.5780513461555189E-2</v>
      </c>
      <c r="AG66" s="234">
        <v>-1.5780513461555189E-2</v>
      </c>
      <c r="AH66" s="234">
        <v>-1.5780513461555189E-2</v>
      </c>
      <c r="AI66" s="234">
        <v>-1.5780513461555189E-2</v>
      </c>
      <c r="AJ66" s="234">
        <v>-1.5780513461555189E-2</v>
      </c>
      <c r="AK66" s="234">
        <v>-1.5780513461555189E-2</v>
      </c>
    </row>
    <row r="67" spans="2:37" ht="18" hidden="1" x14ac:dyDescent="0.35">
      <c r="B67" s="255" t="s">
        <v>1254</v>
      </c>
      <c r="C67" s="256" t="s">
        <v>1077</v>
      </c>
      <c r="D67" s="234">
        <v>-1.99686273919359E-2</v>
      </c>
      <c r="E67" s="234">
        <v>-1.9949481149915571E-2</v>
      </c>
      <c r="F67" s="234">
        <v>-1.9930334907895211E-2</v>
      </c>
      <c r="G67" s="234">
        <v>-1.9905456756160071E-2</v>
      </c>
      <c r="H67" s="234">
        <v>-1.9880578604424961E-2</v>
      </c>
      <c r="I67" s="234">
        <v>-1.985570045268982E-2</v>
      </c>
      <c r="J67" s="234">
        <v>-1.9830822300954679E-2</v>
      </c>
      <c r="K67" s="234">
        <v>-1.980594414921958E-2</v>
      </c>
      <c r="L67" s="234">
        <v>-1.9781065997484439E-2</v>
      </c>
      <c r="M67" s="234">
        <v>-1.975618784574934E-2</v>
      </c>
      <c r="N67" s="234">
        <v>-1.9731309694014199E-2</v>
      </c>
      <c r="O67" s="234">
        <v>-1.970260081836999E-2</v>
      </c>
      <c r="P67" s="234">
        <v>-1.9673891942725751E-2</v>
      </c>
      <c r="Q67" s="234">
        <v>-1.9645183067081549E-2</v>
      </c>
      <c r="R67" s="234">
        <v>-1.9616474191437309E-2</v>
      </c>
      <c r="S67" s="234">
        <v>-1.958776531579311E-2</v>
      </c>
      <c r="T67" s="234">
        <v>-1.9559056440148902E-2</v>
      </c>
      <c r="U67" s="234">
        <v>-1.9530347564504658E-2</v>
      </c>
      <c r="V67" s="234">
        <v>-1.950163868886046E-2</v>
      </c>
      <c r="W67" s="234">
        <v>-1.9472929813216262E-2</v>
      </c>
      <c r="X67" s="234">
        <v>-1.943110040037203E-2</v>
      </c>
      <c r="Y67" s="234">
        <v>-1.938927098752783E-2</v>
      </c>
      <c r="Z67" s="234">
        <v>-1.9347441574683641E-2</v>
      </c>
      <c r="AA67" s="234">
        <v>-1.9305612161839451E-2</v>
      </c>
      <c r="AB67" s="234">
        <v>-1.926378274899522E-2</v>
      </c>
      <c r="AC67" s="234">
        <v>-1.922195333615102E-2</v>
      </c>
      <c r="AD67" s="234">
        <v>-1.9180123923306831E-2</v>
      </c>
      <c r="AE67" s="234">
        <v>-1.9138294510462599E-2</v>
      </c>
      <c r="AF67" s="234">
        <v>-1.9138294510462599E-2</v>
      </c>
      <c r="AG67" s="234">
        <v>-1.9138294510462599E-2</v>
      </c>
      <c r="AH67" s="234">
        <v>-1.9138294510462599E-2</v>
      </c>
      <c r="AI67" s="234">
        <v>-1.9138294510462599E-2</v>
      </c>
      <c r="AJ67" s="234">
        <v>-1.9138294510462599E-2</v>
      </c>
      <c r="AK67" s="234">
        <v>-1.9138294510462599E-2</v>
      </c>
    </row>
    <row r="68" spans="2:37" ht="18" hidden="1" x14ac:dyDescent="0.35">
      <c r="B68" s="255" t="s">
        <v>1255</v>
      </c>
      <c r="C68" s="256" t="s">
        <v>1077</v>
      </c>
      <c r="D68" s="234">
        <v>-5.1414009200855398E-2</v>
      </c>
      <c r="E68" s="234">
        <v>-5.136471261956943E-2</v>
      </c>
      <c r="F68" s="234">
        <v>-5.1315416038283462E-2</v>
      </c>
      <c r="G68" s="234">
        <v>-5.1251361283937827E-2</v>
      </c>
      <c r="H68" s="234">
        <v>-5.1187306529592198E-2</v>
      </c>
      <c r="I68" s="234">
        <v>-5.112325177524657E-2</v>
      </c>
      <c r="J68" s="234">
        <v>-5.1059197020900927E-2</v>
      </c>
      <c r="K68" s="234">
        <v>-5.0995142266555299E-2</v>
      </c>
      <c r="L68" s="234">
        <v>-5.0931087512209663E-2</v>
      </c>
      <c r="M68" s="234">
        <v>-5.0867032757864028E-2</v>
      </c>
      <c r="N68" s="234">
        <v>-5.0802978003518399E-2</v>
      </c>
      <c r="O68" s="234">
        <v>-5.0729060133874827E-2</v>
      </c>
      <c r="P68" s="234">
        <v>-5.0655142264231269E-2</v>
      </c>
      <c r="Q68" s="234">
        <v>-5.0581224394587697E-2</v>
      </c>
      <c r="R68" s="234">
        <v>-5.0507306524944132E-2</v>
      </c>
      <c r="S68" s="234">
        <v>-5.0433388655300573E-2</v>
      </c>
      <c r="T68" s="234">
        <v>-5.0359470785657001E-2</v>
      </c>
      <c r="U68" s="234">
        <v>-5.0285552916013429E-2</v>
      </c>
      <c r="V68" s="234">
        <v>-5.0211635046369857E-2</v>
      </c>
      <c r="W68" s="234">
        <v>-5.0137717176726299E-2</v>
      </c>
      <c r="X68" s="234">
        <v>-5.0030017344653503E-2</v>
      </c>
      <c r="Y68" s="234">
        <v>-4.9922317512580333E-2</v>
      </c>
      <c r="Z68" s="234">
        <v>-4.9814617680507531E-2</v>
      </c>
      <c r="AA68" s="234">
        <v>-4.9706917848434742E-2</v>
      </c>
      <c r="AB68" s="234">
        <v>-4.9599218016361558E-2</v>
      </c>
      <c r="AC68" s="234">
        <v>-4.9491518184288763E-2</v>
      </c>
      <c r="AD68" s="234">
        <v>-4.9383818352215968E-2</v>
      </c>
      <c r="AE68" s="234">
        <v>-4.9276118520142798E-2</v>
      </c>
      <c r="AF68" s="234">
        <v>-4.9276118520142798E-2</v>
      </c>
      <c r="AG68" s="234">
        <v>-4.9276118520142798E-2</v>
      </c>
      <c r="AH68" s="234">
        <v>-4.9276118520142798E-2</v>
      </c>
      <c r="AI68" s="234">
        <v>-4.9276118520142798E-2</v>
      </c>
      <c r="AJ68" s="234">
        <v>-4.9276118520142798E-2</v>
      </c>
      <c r="AK68" s="234">
        <v>-4.9276118520142798E-2</v>
      </c>
    </row>
    <row r="69" spans="2:37" ht="18" hidden="1" x14ac:dyDescent="0.35">
      <c r="B69" s="255" t="s">
        <v>1251</v>
      </c>
      <c r="C69" s="256" t="s">
        <v>1077</v>
      </c>
      <c r="D69" s="234">
        <v>-1.279784E-3</v>
      </c>
      <c r="E69" s="234">
        <v>-2.3000120000000002E-3</v>
      </c>
      <c r="F69" s="234">
        <v>-2.3000120000000002E-3</v>
      </c>
      <c r="G69" s="234">
        <v>-2.3000120000000002E-3</v>
      </c>
      <c r="H69" s="234">
        <v>-3.8946966666666659E-3</v>
      </c>
      <c r="I69" s="234">
        <v>-4.317646666666666E-3</v>
      </c>
      <c r="J69" s="234">
        <v>-4.8844399999999986E-3</v>
      </c>
      <c r="K69" s="234">
        <v>-5.7547233333333329E-3</v>
      </c>
      <c r="L69" s="234">
        <v>-5.9173399999999992E-3</v>
      </c>
      <c r="M69" s="234">
        <v>-6.4841333333333336E-3</v>
      </c>
      <c r="N69" s="234">
        <v>-7.2044500000000003E-3</v>
      </c>
      <c r="O69" s="234">
        <v>-7.8846166666666669E-3</v>
      </c>
      <c r="P69" s="234">
        <v>-9.4835033333333322E-3</v>
      </c>
      <c r="Q69" s="234">
        <v>-8.8033366666666665E-3</v>
      </c>
      <c r="R69" s="234">
        <v>-1.016363333333333E-2</v>
      </c>
      <c r="S69" s="234">
        <v>-1.0276163333333329E-2</v>
      </c>
      <c r="T69" s="234">
        <v>-1.0056273333333331E-2</v>
      </c>
      <c r="U69" s="234">
        <v>-1.142760666666667E-2</v>
      </c>
      <c r="V69" s="234">
        <v>-1.169450333333333E-2</v>
      </c>
      <c r="W69" s="234">
        <v>-1.1548313333333331E-2</v>
      </c>
      <c r="X69" s="234">
        <v>-1.164683666666667E-2</v>
      </c>
      <c r="Y69" s="234">
        <v>-1.062662333333333E-2</v>
      </c>
      <c r="Z69" s="234">
        <v>-1.164716446666667E-2</v>
      </c>
      <c r="AA69" s="234">
        <v>-3.2220393333333333E-2</v>
      </c>
      <c r="AB69" s="234">
        <v>-1.01661219E-2</v>
      </c>
      <c r="AC69" s="234">
        <v>-1.619742666666666E-2</v>
      </c>
      <c r="AD69" s="234">
        <v>-1.08322082E-2</v>
      </c>
      <c r="AE69" s="234">
        <v>-2.6609440000000002E-2</v>
      </c>
      <c r="AF69" s="234">
        <v>-9.6283733333333323E-3</v>
      </c>
      <c r="AG69" s="234">
        <v>-1.3637176666666671E-2</v>
      </c>
      <c r="AH69" s="234">
        <v>-1.0196776333333331E-2</v>
      </c>
      <c r="AI69" s="234">
        <v>-1.040673665787036E-2</v>
      </c>
      <c r="AJ69" s="234">
        <v>-1.0440108471985119E-2</v>
      </c>
      <c r="AK69" s="234">
        <v>-1.060470731284845E-2</v>
      </c>
    </row>
    <row r="70" spans="2:37" hidden="1" x14ac:dyDescent="0.25">
      <c r="B70" s="259" t="s">
        <v>1268</v>
      </c>
      <c r="C70" s="256" t="s">
        <v>535</v>
      </c>
      <c r="D70" s="234">
        <v>-3.742756907838006E-3</v>
      </c>
      <c r="E70" s="234">
        <v>0</v>
      </c>
      <c r="F70" s="234">
        <v>-2.4951678465009921E-3</v>
      </c>
      <c r="G70" s="234">
        <v>-3.372476315448342E-3</v>
      </c>
      <c r="H70" s="234">
        <v>0</v>
      </c>
      <c r="I70" s="234">
        <v>0</v>
      </c>
      <c r="J70" s="234">
        <v>-4.1586233536746798E-4</v>
      </c>
      <c r="K70" s="234">
        <v>-2.2872368843407199E-2</v>
      </c>
      <c r="L70" s="234">
        <v>-3.2300703013325078E-3</v>
      </c>
      <c r="M70" s="234">
        <v>0</v>
      </c>
      <c r="N70" s="234">
        <v>0</v>
      </c>
      <c r="O70" s="234">
        <v>-1.663445231000663E-3</v>
      </c>
      <c r="P70" s="234">
        <v>-2.204064417267225E-2</v>
      </c>
      <c r="Q70" s="234">
        <v>-2.204064417267225E-2</v>
      </c>
      <c r="R70" s="234">
        <v>-4.1586233536746798E-4</v>
      </c>
      <c r="S70" s="234">
        <v>-2.079311676837337E-3</v>
      </c>
      <c r="T70" s="234">
        <v>0</v>
      </c>
      <c r="U70" s="234">
        <v>-1.372344987380532E-2</v>
      </c>
      <c r="V70" s="234">
        <v>-1.663445231000663E-3</v>
      </c>
      <c r="W70" s="234">
        <v>0</v>
      </c>
      <c r="X70" s="234">
        <v>0</v>
      </c>
      <c r="Y70" s="234">
        <v>-1.2931625833764041E-3</v>
      </c>
      <c r="Z70" s="234">
        <v>0</v>
      </c>
      <c r="AA70" s="234">
        <v>0</v>
      </c>
      <c r="AB70" s="234">
        <v>0</v>
      </c>
      <c r="AC70" s="234">
        <v>0</v>
      </c>
      <c r="AD70" s="234">
        <v>-2.4951678465009921E-3</v>
      </c>
      <c r="AE70" s="234">
        <v>-3.742756907838006E-3</v>
      </c>
      <c r="AF70" s="234">
        <v>-2.0710801184763241E-3</v>
      </c>
      <c r="AG70" s="234">
        <v>-2.1367477585421848E-3</v>
      </c>
      <c r="AH70" s="234">
        <v>-2.1716393281144019E-3</v>
      </c>
      <c r="AI70" s="234">
        <v>-2.1953299047115589E-3</v>
      </c>
      <c r="AJ70" s="234">
        <v>-2.2109102511195179E-3</v>
      </c>
      <c r="AK70" s="234">
        <v>-2.2209354185323241E-3</v>
      </c>
    </row>
    <row r="71" spans="2:37" ht="18" hidden="1" x14ac:dyDescent="0.35">
      <c r="B71" s="255" t="s">
        <v>1250</v>
      </c>
      <c r="C71" s="256" t="s">
        <v>1077</v>
      </c>
      <c r="D71" s="234">
        <v>-3.742756907838006E-3</v>
      </c>
      <c r="E71" s="234">
        <v>0</v>
      </c>
      <c r="F71" s="234">
        <v>-2.4951678465009921E-3</v>
      </c>
      <c r="G71" s="234">
        <v>-3.372476315448342E-3</v>
      </c>
      <c r="H71" s="234">
        <v>0</v>
      </c>
      <c r="I71" s="234">
        <v>0</v>
      </c>
      <c r="J71" s="234">
        <v>-4.1586233536746798E-4</v>
      </c>
      <c r="K71" s="234">
        <v>-2.2872368843407199E-2</v>
      </c>
      <c r="L71" s="234">
        <v>-3.2300703013325078E-3</v>
      </c>
      <c r="M71" s="234">
        <v>0</v>
      </c>
      <c r="N71" s="234">
        <v>0</v>
      </c>
      <c r="O71" s="234">
        <v>-1.663445231000663E-3</v>
      </c>
      <c r="P71" s="234">
        <v>-2.204064417267225E-2</v>
      </c>
      <c r="Q71" s="234">
        <v>-2.204064417267225E-2</v>
      </c>
      <c r="R71" s="234">
        <v>-4.1586233536746798E-4</v>
      </c>
      <c r="S71" s="234">
        <v>-2.079311676837337E-3</v>
      </c>
      <c r="T71" s="234">
        <v>0</v>
      </c>
      <c r="U71" s="234">
        <v>-1.372344987380532E-2</v>
      </c>
      <c r="V71" s="234">
        <v>-1.663445231000663E-3</v>
      </c>
      <c r="W71" s="234">
        <v>0</v>
      </c>
      <c r="X71" s="234">
        <v>0</v>
      </c>
      <c r="Y71" s="234">
        <v>-1.2931625833764041E-3</v>
      </c>
      <c r="Z71" s="234">
        <v>0</v>
      </c>
      <c r="AA71" s="234">
        <v>0</v>
      </c>
      <c r="AB71" s="234">
        <v>0</v>
      </c>
      <c r="AC71" s="234">
        <v>0</v>
      </c>
      <c r="AD71" s="234">
        <v>-2.4951678465009921E-3</v>
      </c>
      <c r="AE71" s="234">
        <v>-3.742756907838006E-3</v>
      </c>
      <c r="AF71" s="234">
        <v>-2.0710801184763241E-3</v>
      </c>
      <c r="AG71" s="234">
        <v>-2.1367477585421848E-3</v>
      </c>
      <c r="AH71" s="234">
        <v>-2.1716393281144019E-3</v>
      </c>
      <c r="AI71" s="234">
        <v>-2.1953299047115589E-3</v>
      </c>
      <c r="AJ71" s="234">
        <v>-2.2109102511195179E-3</v>
      </c>
      <c r="AK71" s="234">
        <v>-2.2209354185323241E-3</v>
      </c>
    </row>
    <row r="72" spans="2:37" ht="18" hidden="1" x14ac:dyDescent="0.35">
      <c r="B72" s="255" t="s">
        <v>1251</v>
      </c>
      <c r="C72" s="256" t="s">
        <v>1077</v>
      </c>
      <c r="D72" s="234">
        <v>0</v>
      </c>
      <c r="E72" s="234">
        <v>0</v>
      </c>
      <c r="F72" s="234">
        <v>0</v>
      </c>
      <c r="G72" s="234">
        <v>0</v>
      </c>
      <c r="H72" s="234">
        <v>0</v>
      </c>
      <c r="I72" s="234">
        <v>0</v>
      </c>
      <c r="J72" s="234">
        <v>0</v>
      </c>
      <c r="K72" s="234">
        <v>0</v>
      </c>
      <c r="L72" s="234">
        <v>0</v>
      </c>
      <c r="M72" s="234">
        <v>0</v>
      </c>
      <c r="N72" s="234">
        <v>0</v>
      </c>
      <c r="O72" s="234">
        <v>0</v>
      </c>
      <c r="P72" s="234">
        <v>0</v>
      </c>
      <c r="Q72" s="234">
        <v>0</v>
      </c>
      <c r="R72" s="234">
        <v>0</v>
      </c>
      <c r="S72" s="234">
        <v>0</v>
      </c>
      <c r="T72" s="234">
        <v>0</v>
      </c>
      <c r="U72" s="234">
        <v>0</v>
      </c>
      <c r="V72" s="234">
        <v>0</v>
      </c>
      <c r="W72" s="234">
        <v>0</v>
      </c>
      <c r="X72" s="234">
        <v>0</v>
      </c>
      <c r="Y72" s="234">
        <v>0</v>
      </c>
      <c r="Z72" s="234">
        <v>0</v>
      </c>
      <c r="AA72" s="234">
        <v>0</v>
      </c>
      <c r="AB72" s="234">
        <v>0</v>
      </c>
      <c r="AC72" s="234">
        <v>0</v>
      </c>
      <c r="AD72" s="234">
        <v>0</v>
      </c>
      <c r="AE72" s="234">
        <v>0</v>
      </c>
      <c r="AF72" s="234">
        <v>0</v>
      </c>
      <c r="AG72" s="234">
        <v>0</v>
      </c>
      <c r="AH72" s="234">
        <v>0</v>
      </c>
      <c r="AI72" s="234">
        <v>0</v>
      </c>
      <c r="AJ72" s="234">
        <v>0</v>
      </c>
      <c r="AK72" s="234">
        <v>0</v>
      </c>
    </row>
    <row r="73" spans="2:37" ht="15.75" x14ac:dyDescent="0.25">
      <c r="B73" s="260" t="s">
        <v>1269</v>
      </c>
      <c r="C73" s="261" t="s">
        <v>535</v>
      </c>
      <c r="D73" s="262">
        <v>-0.76819199381172032</v>
      </c>
      <c r="E73" s="262">
        <v>-0.73119388750873293</v>
      </c>
      <c r="F73" s="262">
        <v>-0.64452846848421497</v>
      </c>
      <c r="G73" s="262">
        <v>-0.49018263597194206</v>
      </c>
      <c r="H73" s="262">
        <v>-0.53317481604259187</v>
      </c>
      <c r="I73" s="262">
        <v>-0.40751880872201074</v>
      </c>
      <c r="J73" s="262">
        <v>-0.44124296446745243</v>
      </c>
      <c r="K73" s="262">
        <v>-0.46255789280251908</v>
      </c>
      <c r="L73" s="262">
        <v>-0.44206270018684651</v>
      </c>
      <c r="M73" s="262">
        <v>-0.45888331909062241</v>
      </c>
      <c r="N73" s="262">
        <v>-0.16883407992297228</v>
      </c>
      <c r="O73" s="262">
        <v>-0.38536766618044238</v>
      </c>
      <c r="P73" s="262">
        <v>-5.7478022428492981E-2</v>
      </c>
      <c r="Q73" s="262">
        <v>-2.7400183690983182E-2</v>
      </c>
      <c r="R73" s="262">
        <v>-0.1381518112631348</v>
      </c>
      <c r="S73" s="262">
        <v>-0.1432571767191001</v>
      </c>
      <c r="T73" s="262">
        <v>-0.11075804772360331</v>
      </c>
      <c r="U73" s="262">
        <v>-0.19565481535219642</v>
      </c>
      <c r="V73" s="262">
        <v>-0.16231896147333325</v>
      </c>
      <c r="W73" s="262">
        <v>-6.2263872968993828E-2</v>
      </c>
      <c r="X73" s="262">
        <v>-5.8544986605827298E-2</v>
      </c>
      <c r="Y73" s="262">
        <v>0.52956317518320228</v>
      </c>
      <c r="Z73" s="262">
        <v>0.56421996320160128</v>
      </c>
      <c r="AA73" s="262">
        <v>0.46661404747467317</v>
      </c>
      <c r="AB73" s="262">
        <v>0.10718547660329969</v>
      </c>
      <c r="AC73" s="262">
        <v>0.13087081414973145</v>
      </c>
      <c r="AD73" s="262">
        <v>0.16695767370868886</v>
      </c>
      <c r="AE73" s="262">
        <v>0.24583057426942712</v>
      </c>
      <c r="AF73" s="262">
        <v>0.48702755666719022</v>
      </c>
      <c r="AG73" s="262">
        <v>0.47498755898327416</v>
      </c>
      <c r="AH73" s="262">
        <v>0.64536407242733262</v>
      </c>
      <c r="AI73" s="262">
        <v>0.70677656748351636</v>
      </c>
      <c r="AJ73" s="262">
        <v>1.7753939112662738</v>
      </c>
      <c r="AK73" s="262">
        <v>0.96993620130746272</v>
      </c>
    </row>
    <row r="74" spans="2:37" x14ac:dyDescent="0.25">
      <c r="B74" s="264" t="s">
        <v>1270</v>
      </c>
      <c r="C74" s="264" t="s">
        <v>535</v>
      </c>
      <c r="D74" s="233">
        <v>-2.6734802872593458E-2</v>
      </c>
      <c r="E74" s="233">
        <v>3.2671375650956784E-4</v>
      </c>
      <c r="F74" s="233">
        <v>8.7220149573810274E-2</v>
      </c>
      <c r="G74" s="233">
        <v>0.2487630214265078</v>
      </c>
      <c r="H74" s="233">
        <v>0.20879382179628189</v>
      </c>
      <c r="I74" s="233">
        <v>0.34805113519062092</v>
      </c>
      <c r="J74" s="233">
        <v>0.31235575711893743</v>
      </c>
      <c r="K74" s="233">
        <v>0.29149108449096112</v>
      </c>
      <c r="L74" s="233">
        <v>0.32257685604705749</v>
      </c>
      <c r="M74" s="233">
        <v>0.32534193995037308</v>
      </c>
      <c r="N74" s="233">
        <v>0.61682181019178128</v>
      </c>
      <c r="O74" s="233">
        <v>0.40073231306589818</v>
      </c>
      <c r="P74" s="233">
        <v>0.72910454814943571</v>
      </c>
      <c r="Q74" s="233">
        <v>0.76127396875186681</v>
      </c>
      <c r="R74" s="233">
        <v>0.65284668964463433</v>
      </c>
      <c r="S74" s="233">
        <v>0.6482094974535908</v>
      </c>
      <c r="T74" s="233">
        <v>0.68388386231400777</v>
      </c>
      <c r="U74" s="233">
        <v>0.59976883028366845</v>
      </c>
      <c r="V74" s="233">
        <v>0.63906303992745328</v>
      </c>
      <c r="W74" s="233">
        <v>0.73920216189671284</v>
      </c>
      <c r="X74" s="233">
        <v>0.756636036404155</v>
      </c>
      <c r="Y74" s="233">
        <v>1.34928457693746</v>
      </c>
      <c r="Z74" s="233">
        <v>1.3867282494668014</v>
      </c>
      <c r="AA74" s="233">
        <v>1.30154129198415</v>
      </c>
      <c r="AB74" s="233">
        <v>0.94506931069038502</v>
      </c>
      <c r="AC74" s="233">
        <v>0.9740242554810925</v>
      </c>
      <c r="AD74" s="233">
        <v>1.0691900415843256</v>
      </c>
      <c r="AE74" s="233">
        <v>1.1503459008893404</v>
      </c>
      <c r="AF74" s="233">
        <v>1.3762096767537702</v>
      </c>
      <c r="AG74" s="233">
        <v>1.2831972322031875</v>
      </c>
      <c r="AH74" s="233">
        <v>1.4774295556472459</v>
      </c>
      <c r="AI74" s="233">
        <v>1.5511895937632803</v>
      </c>
      <c r="AJ74" s="233">
        <v>2.6195545972648278</v>
      </c>
      <c r="AK74" s="233">
        <v>1.8138610705489304</v>
      </c>
    </row>
    <row r="75" spans="2:37" ht="18" x14ac:dyDescent="0.35">
      <c r="B75" s="255" t="s">
        <v>1250</v>
      </c>
      <c r="C75" s="256" t="s">
        <v>1077</v>
      </c>
      <c r="D75" s="234">
        <v>2.4880321601811302</v>
      </c>
      <c r="E75" s="234">
        <v>2.5061775349826898</v>
      </c>
      <c r="F75" s="234">
        <v>2.5291796636772101</v>
      </c>
      <c r="G75" s="234">
        <v>2.5521817923717398</v>
      </c>
      <c r="H75" s="234">
        <v>2.5751839210663601</v>
      </c>
      <c r="I75" s="234">
        <v>2.5981860497608902</v>
      </c>
      <c r="J75" s="234">
        <v>2.6211881784554101</v>
      </c>
      <c r="K75" s="234">
        <v>2.6441903071500401</v>
      </c>
      <c r="L75" s="234">
        <v>2.66719243584456</v>
      </c>
      <c r="M75" s="234">
        <v>2.6901945645390901</v>
      </c>
      <c r="N75" s="234">
        <v>2.7129916224692501</v>
      </c>
      <c r="O75" s="234">
        <v>2.7357886803993998</v>
      </c>
      <c r="P75" s="234">
        <v>2.7585857383294599</v>
      </c>
      <c r="Q75" s="234">
        <v>2.7813827962596198</v>
      </c>
      <c r="R75" s="234">
        <v>2.80417985418977</v>
      </c>
      <c r="S75" s="234">
        <v>2.82697691211993</v>
      </c>
      <c r="T75" s="234">
        <v>2.84977397004999</v>
      </c>
      <c r="U75" s="234">
        <v>2.8725710279801402</v>
      </c>
      <c r="V75" s="234">
        <v>2.8953680859103001</v>
      </c>
      <c r="W75" s="234">
        <v>2.93184645838428</v>
      </c>
      <c r="X75" s="234">
        <v>2.9683248308583501</v>
      </c>
      <c r="Y75" s="234">
        <v>3.0048032033324299</v>
      </c>
      <c r="Z75" s="234">
        <v>3.0412815758064098</v>
      </c>
      <c r="AA75" s="234">
        <v>3.07775994828049</v>
      </c>
      <c r="AB75" s="234">
        <v>3.1142383207545699</v>
      </c>
      <c r="AC75" s="234">
        <v>3.15071669322854</v>
      </c>
      <c r="AD75" s="234">
        <v>3.1871950657026198</v>
      </c>
      <c r="AE75" s="234">
        <v>3.22303962874975</v>
      </c>
      <c r="AF75" s="234">
        <v>3.25888419179689</v>
      </c>
      <c r="AG75" s="234">
        <v>3.2947287548439199</v>
      </c>
      <c r="AH75" s="234">
        <v>3.3305733178910599</v>
      </c>
      <c r="AI75" s="234">
        <v>3.3664178809381902</v>
      </c>
      <c r="AJ75" s="234">
        <v>3.4022624439853302</v>
      </c>
      <c r="AK75" s="234">
        <v>3.43810700703246</v>
      </c>
    </row>
    <row r="76" spans="2:37" ht="18" x14ac:dyDescent="0.35">
      <c r="B76" s="255" t="s">
        <v>1253</v>
      </c>
      <c r="C76" s="256" t="s">
        <v>1077</v>
      </c>
      <c r="D76" s="234">
        <v>0.439122641844095</v>
      </c>
      <c r="E76" s="234">
        <v>0.44245006716841601</v>
      </c>
      <c r="F76" s="234">
        <v>0.44660838817528498</v>
      </c>
      <c r="G76" s="234">
        <v>0.45076670918214201</v>
      </c>
      <c r="H76" s="234">
        <v>0.45492503018901098</v>
      </c>
      <c r="I76" s="234">
        <v>0.45908335119588001</v>
      </c>
      <c r="J76" s="234">
        <v>0.46324167220273699</v>
      </c>
      <c r="K76" s="234">
        <v>0.46739999320960601</v>
      </c>
      <c r="L76" s="234">
        <v>0.47155831421647598</v>
      </c>
      <c r="M76" s="234">
        <v>0.47571663522334501</v>
      </c>
      <c r="N76" s="234">
        <v>0.47987480120263598</v>
      </c>
      <c r="O76" s="234">
        <v>0.48403296718192701</v>
      </c>
      <c r="P76" s="234">
        <v>0.48819113316121798</v>
      </c>
      <c r="Q76" s="234">
        <v>0.49234929914050901</v>
      </c>
      <c r="R76" s="234">
        <v>0.49650746511979998</v>
      </c>
      <c r="S76" s="234">
        <v>0.50066563109909101</v>
      </c>
      <c r="T76" s="234">
        <v>0.50482379707838299</v>
      </c>
      <c r="U76" s="234">
        <v>0.50898196305767396</v>
      </c>
      <c r="V76" s="234">
        <v>0.51314012903696504</v>
      </c>
      <c r="W76" s="234">
        <v>0.520025174571349</v>
      </c>
      <c r="X76" s="234">
        <v>0.52691022010572097</v>
      </c>
      <c r="Y76" s="234">
        <v>0.53379526564010504</v>
      </c>
      <c r="Z76" s="234">
        <v>0.540680311174489</v>
      </c>
      <c r="AA76" s="234">
        <v>0.54756535670886097</v>
      </c>
      <c r="AB76" s="234">
        <v>0.55445040224324504</v>
      </c>
      <c r="AC76" s="234">
        <v>0.56133544777761701</v>
      </c>
      <c r="AD76" s="234">
        <v>0.56822049331200097</v>
      </c>
      <c r="AE76" s="234">
        <v>0.57476821564713998</v>
      </c>
      <c r="AF76" s="234">
        <v>0.58131593798227899</v>
      </c>
      <c r="AG76" s="234">
        <v>0.58786366031741699</v>
      </c>
      <c r="AH76" s="234">
        <v>0.594411382652556</v>
      </c>
      <c r="AI76" s="234">
        <v>0.600959104987695</v>
      </c>
      <c r="AJ76" s="234">
        <v>0.60750682732283301</v>
      </c>
      <c r="AK76" s="234">
        <v>0.61405454965797202</v>
      </c>
    </row>
    <row r="77" spans="2:37" ht="18" x14ac:dyDescent="0.35">
      <c r="B77" s="255" t="s">
        <v>1254</v>
      </c>
      <c r="C77" s="256" t="s">
        <v>1077</v>
      </c>
      <c r="D77" s="234">
        <v>-3.1746598473615801</v>
      </c>
      <c r="E77" s="234">
        <v>-3.1705918027144202</v>
      </c>
      <c r="F77" s="234">
        <v>-3.1657171395998298</v>
      </c>
      <c r="G77" s="234">
        <v>-3.1608424764852399</v>
      </c>
      <c r="H77" s="234">
        <v>-3.1559678133706601</v>
      </c>
      <c r="I77" s="234">
        <v>-3.1510931502560702</v>
      </c>
      <c r="J77" s="234">
        <v>-3.14621848714149</v>
      </c>
      <c r="K77" s="234">
        <v>-3.1413438240268898</v>
      </c>
      <c r="L77" s="234">
        <v>-3.1364691609123101</v>
      </c>
      <c r="M77" s="234">
        <v>-3.1315944977977201</v>
      </c>
      <c r="N77" s="234">
        <v>-3.1294759257736402</v>
      </c>
      <c r="O77" s="234">
        <v>-3.12735735374957</v>
      </c>
      <c r="P77" s="234">
        <v>-3.1252387817254998</v>
      </c>
      <c r="Q77" s="234">
        <v>-3.1231202097014301</v>
      </c>
      <c r="R77" s="234">
        <v>-3.1210016376773599</v>
      </c>
      <c r="S77" s="234">
        <v>-3.1188830656532902</v>
      </c>
      <c r="T77" s="234">
        <v>-3.11676449362922</v>
      </c>
      <c r="U77" s="234">
        <v>-3.1146459216051499</v>
      </c>
      <c r="V77" s="234">
        <v>-3.1125273495810699</v>
      </c>
      <c r="W77" s="234">
        <v>-3.1093764750982502</v>
      </c>
      <c r="X77" s="234">
        <v>-3.1062256006154301</v>
      </c>
      <c r="Y77" s="234">
        <v>-3.1030747261326099</v>
      </c>
      <c r="Z77" s="234">
        <v>-3.0999238516498102</v>
      </c>
      <c r="AA77" s="234">
        <v>-3.0967729771669901</v>
      </c>
      <c r="AB77" s="234">
        <v>-3.0936221026841699</v>
      </c>
      <c r="AC77" s="234">
        <v>-3.0904712282013702</v>
      </c>
      <c r="AD77" s="234">
        <v>-3.0873203537185501</v>
      </c>
      <c r="AE77" s="234">
        <v>-3.0579858799303499</v>
      </c>
      <c r="AF77" s="234">
        <v>-3.0286514061421599</v>
      </c>
      <c r="AG77" s="234">
        <v>-2.9993169323539699</v>
      </c>
      <c r="AH77" s="234">
        <v>-2.9699824585657999</v>
      </c>
      <c r="AI77" s="234">
        <v>-2.9406479847776099</v>
      </c>
      <c r="AJ77" s="234">
        <v>-2.9113135109894199</v>
      </c>
      <c r="AK77" s="234">
        <v>-2.8819790372012299</v>
      </c>
    </row>
    <row r="78" spans="2:37" ht="18" x14ac:dyDescent="0.35">
      <c r="B78" s="255" t="s">
        <v>1255</v>
      </c>
      <c r="C78" s="256" t="s">
        <v>1077</v>
      </c>
      <c r="D78" s="234">
        <v>5.5810303565391899E-2</v>
      </c>
      <c r="E78" s="234">
        <v>5.9179347021500399E-2</v>
      </c>
      <c r="F78" s="234">
        <v>6.3272482034101102E-2</v>
      </c>
      <c r="G78" s="234">
        <v>6.7365617046701701E-2</v>
      </c>
      <c r="H78" s="234">
        <v>7.14587520593023E-2</v>
      </c>
      <c r="I78" s="234">
        <v>7.5551887071902996E-2</v>
      </c>
      <c r="J78" s="234">
        <v>7.9645022084477504E-2</v>
      </c>
      <c r="K78" s="234">
        <v>8.37381570970782E-2</v>
      </c>
      <c r="L78" s="234">
        <v>8.7831292109678799E-2</v>
      </c>
      <c r="M78" s="234">
        <v>9.1924427122279398E-2</v>
      </c>
      <c r="N78" s="234">
        <v>9.49979617676983E-2</v>
      </c>
      <c r="O78" s="234">
        <v>9.8071496413143194E-2</v>
      </c>
      <c r="P78" s="234">
        <v>0.101145031058562</v>
      </c>
      <c r="Q78" s="234">
        <v>0.104218565704007</v>
      </c>
      <c r="R78" s="234">
        <v>0.107292100349426</v>
      </c>
      <c r="S78" s="234">
        <v>0.110365634994845</v>
      </c>
      <c r="T78" s="234">
        <v>0.11343916964028999</v>
      </c>
      <c r="U78" s="234">
        <v>0.11651270428570799</v>
      </c>
      <c r="V78" s="234">
        <v>0.119586238931153</v>
      </c>
      <c r="W78" s="234">
        <v>0.125190019977057</v>
      </c>
      <c r="X78" s="234">
        <v>0.13079380102298699</v>
      </c>
      <c r="Y78" s="234">
        <v>0.136397582068916</v>
      </c>
      <c r="Z78" s="234">
        <v>0.14200136311484601</v>
      </c>
      <c r="AA78" s="234">
        <v>0.147605144160776</v>
      </c>
      <c r="AB78" s="234">
        <v>0.153208925206679</v>
      </c>
      <c r="AC78" s="234">
        <v>0.15881270625260899</v>
      </c>
      <c r="AD78" s="234">
        <v>0.164416487298539</v>
      </c>
      <c r="AE78" s="234">
        <v>0.16773708799199699</v>
      </c>
      <c r="AF78" s="234">
        <v>0.17105768868543</v>
      </c>
      <c r="AG78" s="234">
        <v>0.174378289378888</v>
      </c>
      <c r="AH78" s="234">
        <v>0.17769889007234699</v>
      </c>
      <c r="AI78" s="234">
        <v>0.18101949076580601</v>
      </c>
      <c r="AJ78" s="234">
        <v>0.18434009145923799</v>
      </c>
      <c r="AK78" s="234">
        <v>0.18766069215269701</v>
      </c>
    </row>
    <row r="79" spans="2:37" ht="18" x14ac:dyDescent="0.35">
      <c r="B79" s="255" t="s">
        <v>1251</v>
      </c>
      <c r="C79" s="256" t="s">
        <v>1077</v>
      </c>
      <c r="D79" s="234">
        <v>0.15771415659351801</v>
      </c>
      <c r="E79" s="234">
        <v>0.15970734792826599</v>
      </c>
      <c r="F79" s="234">
        <v>0.161732274410743</v>
      </c>
      <c r="G79" s="234">
        <v>0.16375720089321999</v>
      </c>
      <c r="H79" s="234">
        <v>0.165782127375697</v>
      </c>
      <c r="I79" s="234">
        <v>0.16780705385817399</v>
      </c>
      <c r="J79" s="234">
        <v>0.169831980340651</v>
      </c>
      <c r="K79" s="234">
        <v>0.17185690682312799</v>
      </c>
      <c r="L79" s="234">
        <v>0.173881833305605</v>
      </c>
      <c r="M79" s="234">
        <v>0.17590675978808201</v>
      </c>
      <c r="N79" s="234">
        <v>0.177134550339417</v>
      </c>
      <c r="O79" s="234">
        <v>0.17836234089075301</v>
      </c>
      <c r="P79" s="234">
        <v>0.17959013144208799</v>
      </c>
      <c r="Q79" s="234">
        <v>0.180817921993423</v>
      </c>
      <c r="R79" s="234">
        <v>0.18204571254475799</v>
      </c>
      <c r="S79" s="234">
        <v>0.183273503096094</v>
      </c>
      <c r="T79" s="234">
        <v>0.18450129364742901</v>
      </c>
      <c r="U79" s="234">
        <v>0.18572908419876399</v>
      </c>
      <c r="V79" s="234">
        <v>0.18695687475010001</v>
      </c>
      <c r="W79" s="234">
        <v>0.18414224181081301</v>
      </c>
      <c r="X79" s="234">
        <v>0.18132760887131899</v>
      </c>
      <c r="Y79" s="234">
        <v>0.178512975931824</v>
      </c>
      <c r="Z79" s="234">
        <v>0.175698342992537</v>
      </c>
      <c r="AA79" s="234">
        <v>0.17288371005304301</v>
      </c>
      <c r="AB79" s="234">
        <v>0.17006907711375599</v>
      </c>
      <c r="AC79" s="234">
        <v>0.167254444174262</v>
      </c>
      <c r="AD79" s="234">
        <v>0.164439811234767</v>
      </c>
      <c r="AE79" s="234">
        <v>0.169482630395805</v>
      </c>
      <c r="AF79" s="234">
        <v>0.17452544955684399</v>
      </c>
      <c r="AG79" s="234">
        <v>0.17956826871767401</v>
      </c>
      <c r="AH79" s="234">
        <v>0.184611087878712</v>
      </c>
      <c r="AI79" s="234">
        <v>0.18965390703974999</v>
      </c>
      <c r="AJ79" s="234">
        <v>0.19469672620078901</v>
      </c>
      <c r="AK79" s="234">
        <v>0.199739545361619</v>
      </c>
    </row>
    <row r="80" spans="2:37" x14ac:dyDescent="0.25">
      <c r="B80" s="434" t="s">
        <v>1271</v>
      </c>
      <c r="C80" s="256" t="s">
        <v>535</v>
      </c>
      <c r="D80" s="234">
        <v>7.2457823048516102E-3</v>
      </c>
      <c r="E80" s="234">
        <v>3.4042193700573996E-3</v>
      </c>
      <c r="F80" s="234">
        <v>5.2144480876300692E-2</v>
      </c>
      <c r="G80" s="234">
        <v>0.17553417841794405</v>
      </c>
      <c r="H80" s="234">
        <v>9.7411804476571551E-2</v>
      </c>
      <c r="I80" s="234">
        <v>0.19851594355984387</v>
      </c>
      <c r="J80" s="234">
        <v>0.1246673911771518</v>
      </c>
      <c r="K80" s="234">
        <v>6.5649544237998611E-2</v>
      </c>
      <c r="L80" s="234">
        <v>5.8582141483047911E-2</v>
      </c>
      <c r="M80" s="234">
        <v>2.3194051075296887E-2</v>
      </c>
      <c r="N80" s="234">
        <v>0.28129880018642023</v>
      </c>
      <c r="O80" s="234">
        <v>3.1834181930245189E-2</v>
      </c>
      <c r="P80" s="234">
        <v>0.3268312958836076</v>
      </c>
      <c r="Q80" s="234">
        <v>0.32562559535573787</v>
      </c>
      <c r="R80" s="234">
        <v>0.1838231951182405</v>
      </c>
      <c r="S80" s="234">
        <v>0.14581088179692114</v>
      </c>
      <c r="T80" s="234">
        <v>0.14811012552713593</v>
      </c>
      <c r="U80" s="234">
        <v>3.0619972366532286E-2</v>
      </c>
      <c r="V80" s="234">
        <v>3.6539060880005012E-2</v>
      </c>
      <c r="W80" s="234">
        <v>8.7374742251464188E-2</v>
      </c>
      <c r="X80" s="234">
        <v>5.5505176161207898E-2</v>
      </c>
      <c r="Y80" s="234">
        <v>0.59885027609679475</v>
      </c>
      <c r="Z80" s="234">
        <v>0.58699050802832997</v>
      </c>
      <c r="AA80" s="234">
        <v>0.45250010994796985</v>
      </c>
      <c r="AB80" s="234">
        <v>4.6724688056305003E-2</v>
      </c>
      <c r="AC80" s="234">
        <v>2.6376192249434799E-2</v>
      </c>
      <c r="AD80" s="234">
        <v>7.2238537754949136E-2</v>
      </c>
      <c r="AE80" s="234">
        <v>7.3304218034998286E-2</v>
      </c>
      <c r="AF80" s="234">
        <v>0.21907781487448685</v>
      </c>
      <c r="AG80" s="234">
        <v>4.5975191299258297E-2</v>
      </c>
      <c r="AH80" s="234">
        <v>0.16011733571837095</v>
      </c>
      <c r="AI80" s="234">
        <v>0.1537871948094488</v>
      </c>
      <c r="AJ80" s="234">
        <v>1.1420620192860576</v>
      </c>
      <c r="AK80" s="234">
        <v>0.25627831354541175</v>
      </c>
    </row>
    <row r="81" spans="2:37" ht="18" x14ac:dyDescent="0.35">
      <c r="B81" s="434"/>
      <c r="C81" s="256" t="s">
        <v>1068</v>
      </c>
      <c r="D81" s="234">
        <v>4.2973849634883998E-3</v>
      </c>
      <c r="E81" s="234">
        <v>1.9413375058971009E-3</v>
      </c>
      <c r="F81" s="234">
        <v>3.06673774513848E-2</v>
      </c>
      <c r="G81" s="234">
        <v>0.1062307585199644</v>
      </c>
      <c r="H81" s="234">
        <v>5.9107535752003199E-2</v>
      </c>
      <c r="I81" s="234">
        <v>0.1216984257310276</v>
      </c>
      <c r="J81" s="234">
        <v>7.3871805759679193E-2</v>
      </c>
      <c r="K81" s="234">
        <v>3.9389231056775602E-2</v>
      </c>
      <c r="L81" s="234">
        <v>3.5388884381883201E-2</v>
      </c>
      <c r="M81" s="234">
        <v>1.3520447805068289E-2</v>
      </c>
      <c r="N81" s="234">
        <v>0.16975274933623441</v>
      </c>
      <c r="O81" s="234">
        <v>1.8447537901057999E-2</v>
      </c>
      <c r="P81" s="234">
        <v>0.19728112028175321</v>
      </c>
      <c r="Q81" s="234">
        <v>0.19592252661906401</v>
      </c>
      <c r="R81" s="234">
        <v>0.11392897115242159</v>
      </c>
      <c r="S81" s="234">
        <v>8.5286888625819998E-2</v>
      </c>
      <c r="T81" s="234">
        <v>8.7084229889815207E-2</v>
      </c>
      <c r="U81" s="234">
        <v>1.7797708749494798E-2</v>
      </c>
      <c r="V81" s="234">
        <v>2.1667483776940399E-2</v>
      </c>
      <c r="W81" s="234">
        <v>5.1701511575909999E-2</v>
      </c>
      <c r="X81" s="234">
        <v>3.3032000141786803E-2</v>
      </c>
      <c r="Y81" s="234">
        <v>0.36343733318418958</v>
      </c>
      <c r="Z81" s="234">
        <v>0.352763467</v>
      </c>
      <c r="AA81" s="234">
        <v>0.28252104951169399</v>
      </c>
      <c r="AB81" s="234">
        <v>2.7613020963872401E-2</v>
      </c>
      <c r="AC81" s="234">
        <v>1.5215211950304799E-2</v>
      </c>
      <c r="AD81" s="234">
        <v>4.1330187052302403E-2</v>
      </c>
      <c r="AE81" s="234">
        <v>4.1436118921159198E-2</v>
      </c>
      <c r="AF81" s="234">
        <v>0.1269721819188816</v>
      </c>
      <c r="AG81" s="234">
        <v>2.60214408595064E-2</v>
      </c>
      <c r="AH81" s="234">
        <v>9.3964145973557997E-2</v>
      </c>
      <c r="AI81" s="234">
        <v>8.68890451510788E-2</v>
      </c>
      <c r="AJ81" s="234">
        <v>0.67756850585919881</v>
      </c>
      <c r="AK81" s="234">
        <v>0.15866975635159039</v>
      </c>
    </row>
    <row r="82" spans="2:37" ht="18" x14ac:dyDescent="0.35">
      <c r="B82" s="434"/>
      <c r="C82" s="256" t="s">
        <v>1070</v>
      </c>
      <c r="D82" s="234">
        <v>2.9483973413632109E-3</v>
      </c>
      <c r="E82" s="234">
        <v>1.462881864160299E-3</v>
      </c>
      <c r="F82" s="234">
        <v>2.1477103424915892E-2</v>
      </c>
      <c r="G82" s="234">
        <v>6.930341989797964E-2</v>
      </c>
      <c r="H82" s="234">
        <v>3.8304268724568352E-2</v>
      </c>
      <c r="I82" s="234">
        <v>7.6817517828816267E-2</v>
      </c>
      <c r="J82" s="234">
        <v>5.0795585417472602E-2</v>
      </c>
      <c r="K82" s="234">
        <v>2.6260313181223009E-2</v>
      </c>
      <c r="L82" s="234">
        <v>2.319325710116471E-2</v>
      </c>
      <c r="M82" s="234">
        <v>9.6736032702285975E-3</v>
      </c>
      <c r="N82" s="234">
        <v>0.1115460508501858</v>
      </c>
      <c r="O82" s="234">
        <v>1.338664402918719E-2</v>
      </c>
      <c r="P82" s="234">
        <v>0.12955017560185439</v>
      </c>
      <c r="Q82" s="234">
        <v>0.12970306873667389</v>
      </c>
      <c r="R82" s="234">
        <v>6.9894223965818902E-2</v>
      </c>
      <c r="S82" s="234">
        <v>6.0523993171101138E-2</v>
      </c>
      <c r="T82" s="234">
        <v>6.1025895637320728E-2</v>
      </c>
      <c r="U82" s="234">
        <v>1.2822263617037489E-2</v>
      </c>
      <c r="V82" s="234">
        <v>1.4871577103064609E-2</v>
      </c>
      <c r="W82" s="234">
        <v>3.5673230675554182E-2</v>
      </c>
      <c r="X82" s="234">
        <v>2.2473176019421091E-2</v>
      </c>
      <c r="Y82" s="234">
        <v>0.2354129429126052</v>
      </c>
      <c r="Z82" s="234">
        <v>0.23422704102833</v>
      </c>
      <c r="AA82" s="234">
        <v>0.16997906043627589</v>
      </c>
      <c r="AB82" s="234">
        <v>1.9111667092432599E-2</v>
      </c>
      <c r="AC82" s="234">
        <v>1.1160980299129999E-2</v>
      </c>
      <c r="AD82" s="234">
        <v>3.090835070264673E-2</v>
      </c>
      <c r="AE82" s="234">
        <v>3.1868099113839081E-2</v>
      </c>
      <c r="AF82" s="234">
        <v>9.2105632955605254E-2</v>
      </c>
      <c r="AG82" s="234">
        <v>1.9953750439751901E-2</v>
      </c>
      <c r="AH82" s="234">
        <v>6.6153189744812949E-2</v>
      </c>
      <c r="AI82" s="234">
        <v>6.6898149658370015E-2</v>
      </c>
      <c r="AJ82" s="234">
        <v>0.46449351342685868</v>
      </c>
      <c r="AK82" s="234">
        <v>9.7608557193821374E-2</v>
      </c>
    </row>
    <row r="83" spans="2:37" x14ac:dyDescent="0.25">
      <c r="B83" s="264" t="s">
        <v>1272</v>
      </c>
      <c r="C83" s="264" t="s">
        <v>535</v>
      </c>
      <c r="D83" s="233">
        <v>-0.74145719093912688</v>
      </c>
      <c r="E83" s="233">
        <v>-0.73152060126524254</v>
      </c>
      <c r="F83" s="233">
        <v>-0.73174861805802527</v>
      </c>
      <c r="G83" s="233">
        <v>-0.73894565739844986</v>
      </c>
      <c r="H83" s="233">
        <v>-0.74196863783887379</v>
      </c>
      <c r="I83" s="233">
        <v>-0.75556994391263166</v>
      </c>
      <c r="J83" s="233">
        <v>-0.75359872158638985</v>
      </c>
      <c r="K83" s="233">
        <v>-0.75404897729348019</v>
      </c>
      <c r="L83" s="233">
        <v>-0.76463955623390401</v>
      </c>
      <c r="M83" s="233">
        <v>-0.78422525904099549</v>
      </c>
      <c r="N83" s="233">
        <v>-0.78565589011475356</v>
      </c>
      <c r="O83" s="233">
        <v>-0.78609997924634056</v>
      </c>
      <c r="P83" s="233">
        <v>-0.78658257057792869</v>
      </c>
      <c r="Q83" s="233">
        <v>-0.78867415244285</v>
      </c>
      <c r="R83" s="233">
        <v>-0.79099850090776913</v>
      </c>
      <c r="S83" s="233">
        <v>-0.7914666741726909</v>
      </c>
      <c r="T83" s="233">
        <v>-0.79464191003761109</v>
      </c>
      <c r="U83" s="233">
        <v>-0.79542364563586487</v>
      </c>
      <c r="V83" s="233">
        <v>-0.80138200140078653</v>
      </c>
      <c r="W83" s="233">
        <v>-0.80146603486570667</v>
      </c>
      <c r="X83" s="233">
        <v>-0.8151810230099823</v>
      </c>
      <c r="Y83" s="233">
        <v>-0.81972140175425767</v>
      </c>
      <c r="Z83" s="233">
        <v>-0.82250828626520012</v>
      </c>
      <c r="AA83" s="233">
        <v>-0.83492724450947686</v>
      </c>
      <c r="AB83" s="233">
        <v>-0.83788383408708533</v>
      </c>
      <c r="AC83" s="233">
        <v>-0.84315344133136105</v>
      </c>
      <c r="AD83" s="233">
        <v>-0.90223236787563676</v>
      </c>
      <c r="AE83" s="233">
        <v>-0.9045153266199133</v>
      </c>
      <c r="AF83" s="233">
        <v>-0.88918212008657993</v>
      </c>
      <c r="AG83" s="233">
        <v>-0.80820967321991333</v>
      </c>
      <c r="AH83" s="233">
        <v>-0.83206548321991325</v>
      </c>
      <c r="AI83" s="233">
        <v>-0.84441302627976389</v>
      </c>
      <c r="AJ83" s="233">
        <v>-0.84416068599855398</v>
      </c>
      <c r="AK83" s="233">
        <v>-0.8439248692414677</v>
      </c>
    </row>
    <row r="84" spans="2:37" ht="18" x14ac:dyDescent="0.35">
      <c r="B84" s="255" t="s">
        <v>1250</v>
      </c>
      <c r="C84" s="256" t="s">
        <v>1077</v>
      </c>
      <c r="D84" s="234">
        <v>-0.61049539437773881</v>
      </c>
      <c r="E84" s="234">
        <v>-0.61072585147677416</v>
      </c>
      <c r="F84" s="234">
        <v>-0.61095630857580974</v>
      </c>
      <c r="G84" s="234">
        <v>-0.61127919388232499</v>
      </c>
      <c r="H84" s="234">
        <v>-0.61160207918884046</v>
      </c>
      <c r="I84" s="234">
        <v>-0.61192496449535572</v>
      </c>
      <c r="J84" s="234">
        <v>-0.6122478498018713</v>
      </c>
      <c r="K84" s="234">
        <v>-0.61257073510838678</v>
      </c>
      <c r="L84" s="234">
        <v>-0.61289362041490214</v>
      </c>
      <c r="M84" s="234">
        <v>-0.61321650572141762</v>
      </c>
      <c r="N84" s="234">
        <v>-0.61353939102793298</v>
      </c>
      <c r="O84" s="234">
        <v>-0.61393276897398041</v>
      </c>
      <c r="P84" s="234">
        <v>-0.61432614692002785</v>
      </c>
      <c r="Q84" s="234">
        <v>-0.61471952486607506</v>
      </c>
      <c r="R84" s="234">
        <v>-0.61511290281212139</v>
      </c>
      <c r="S84" s="234">
        <v>-0.61550628075816893</v>
      </c>
      <c r="T84" s="234">
        <v>-0.61589965870421626</v>
      </c>
      <c r="U84" s="234">
        <v>-0.61629303665026269</v>
      </c>
      <c r="V84" s="234">
        <v>-0.61668641459631013</v>
      </c>
      <c r="W84" s="234">
        <v>-0.61707979254235756</v>
      </c>
      <c r="X84" s="234">
        <v>-0.61767603864764964</v>
      </c>
      <c r="Y84" s="234">
        <v>-0.61827228475294171</v>
      </c>
      <c r="Z84" s="234">
        <v>-0.61886853085823401</v>
      </c>
      <c r="AA84" s="234">
        <v>-0.6194647769635262</v>
      </c>
      <c r="AB84" s="234">
        <v>-0.62006102306881816</v>
      </c>
      <c r="AC84" s="234">
        <v>-0.62065726917411035</v>
      </c>
      <c r="AD84" s="234">
        <v>-0.62125351527940242</v>
      </c>
      <c r="AE84" s="234">
        <v>-0.62184976138469472</v>
      </c>
      <c r="AF84" s="234">
        <v>-0.62184976138469472</v>
      </c>
      <c r="AG84" s="234">
        <v>-0.62184976138469472</v>
      </c>
      <c r="AH84" s="234">
        <v>-0.62184976138469472</v>
      </c>
      <c r="AI84" s="234">
        <v>-0.62184976138469472</v>
      </c>
      <c r="AJ84" s="234">
        <v>-0.62184976138469472</v>
      </c>
      <c r="AK84" s="234">
        <v>-0.62184976138469472</v>
      </c>
    </row>
    <row r="85" spans="2:37" ht="18" x14ac:dyDescent="0.35">
      <c r="B85" s="255" t="s">
        <v>1253</v>
      </c>
      <c r="C85" s="256" t="s">
        <v>1077</v>
      </c>
      <c r="D85" s="234">
        <v>-8.6418410390287609E-2</v>
      </c>
      <c r="E85" s="234">
        <v>-8.645103264484548E-2</v>
      </c>
      <c r="F85" s="234">
        <v>-8.6483654899403337E-2</v>
      </c>
      <c r="G85" s="234">
        <v>-8.6529360788726029E-2</v>
      </c>
      <c r="H85" s="234">
        <v>-8.6575066678048831E-2</v>
      </c>
      <c r="I85" s="234">
        <v>-8.6620772567371523E-2</v>
      </c>
      <c r="J85" s="234">
        <v>-8.6666478456694201E-2</v>
      </c>
      <c r="K85" s="234">
        <v>-8.671218434601688E-2</v>
      </c>
      <c r="L85" s="234">
        <v>-8.6757890235339571E-2</v>
      </c>
      <c r="M85" s="234">
        <v>-8.6803596124662277E-2</v>
      </c>
      <c r="N85" s="234">
        <v>-8.6849302013985052E-2</v>
      </c>
      <c r="O85" s="234">
        <v>-8.6904986458279015E-2</v>
      </c>
      <c r="P85" s="234">
        <v>-8.6960670902573076E-2</v>
      </c>
      <c r="Q85" s="234">
        <v>-8.7016355346867136E-2</v>
      </c>
      <c r="R85" s="234">
        <v>-8.7072039791161099E-2</v>
      </c>
      <c r="S85" s="234">
        <v>-8.7127724235455159E-2</v>
      </c>
      <c r="T85" s="234">
        <v>-8.7183408679749108E-2</v>
      </c>
      <c r="U85" s="234">
        <v>-8.7239093124043168E-2</v>
      </c>
      <c r="V85" s="234">
        <v>-8.7294777568337215E-2</v>
      </c>
      <c r="W85" s="234">
        <v>-8.7350462012631164E-2</v>
      </c>
      <c r="X85" s="234">
        <v>-8.7434863371094018E-2</v>
      </c>
      <c r="Y85" s="234">
        <v>-8.7519264729556762E-2</v>
      </c>
      <c r="Z85" s="234">
        <v>-8.7603666088019602E-2</v>
      </c>
      <c r="AA85" s="234">
        <v>-8.768806744648236E-2</v>
      </c>
      <c r="AB85" s="234">
        <v>-8.7772468804945089E-2</v>
      </c>
      <c r="AC85" s="234">
        <v>-8.7856870163407944E-2</v>
      </c>
      <c r="AD85" s="234">
        <v>-8.7941271521870701E-2</v>
      </c>
      <c r="AE85" s="234">
        <v>-8.8025672880333541E-2</v>
      </c>
      <c r="AF85" s="234">
        <v>-8.8025672880333541E-2</v>
      </c>
      <c r="AG85" s="234">
        <v>-8.8025672880333541E-2</v>
      </c>
      <c r="AH85" s="234">
        <v>-8.8025672880333541E-2</v>
      </c>
      <c r="AI85" s="234">
        <v>-8.8025672880333541E-2</v>
      </c>
      <c r="AJ85" s="234">
        <v>-8.8025672880333541E-2</v>
      </c>
      <c r="AK85" s="234">
        <v>-8.8025672880333541E-2</v>
      </c>
    </row>
    <row r="86" spans="2:37" ht="18" x14ac:dyDescent="0.35">
      <c r="B86" s="255" t="s">
        <v>1254</v>
      </c>
      <c r="C86" s="256" t="s">
        <v>1077</v>
      </c>
      <c r="D86" s="234">
        <v>0.17642066575389526</v>
      </c>
      <c r="E86" s="234">
        <v>0.17648726313565111</v>
      </c>
      <c r="F86" s="234">
        <v>0.17655386051740693</v>
      </c>
      <c r="G86" s="234">
        <v>0.1766471677581529</v>
      </c>
      <c r="H86" s="234">
        <v>0.17674047499889886</v>
      </c>
      <c r="I86" s="234">
        <v>0.17683378223964483</v>
      </c>
      <c r="J86" s="234">
        <v>0.17692708948039082</v>
      </c>
      <c r="K86" s="234">
        <v>0.17702039672113781</v>
      </c>
      <c r="L86" s="234">
        <v>0.17711370396188378</v>
      </c>
      <c r="M86" s="234">
        <v>0.17720701120262974</v>
      </c>
      <c r="N86" s="234">
        <v>0.17730031844337571</v>
      </c>
      <c r="O86" s="234">
        <v>0.17741399661322599</v>
      </c>
      <c r="P86" s="234">
        <v>0.17752767478307527</v>
      </c>
      <c r="Q86" s="234">
        <v>0.17764135295292455</v>
      </c>
      <c r="R86" s="234">
        <v>0.17775503112277485</v>
      </c>
      <c r="S86" s="234">
        <v>0.17786870929262411</v>
      </c>
      <c r="T86" s="234">
        <v>0.17798238746247441</v>
      </c>
      <c r="U86" s="234">
        <v>0.17809606563232369</v>
      </c>
      <c r="V86" s="234">
        <v>0.17820974380217294</v>
      </c>
      <c r="W86" s="234">
        <v>0.17832342197202328</v>
      </c>
      <c r="X86" s="234">
        <v>0.17849572488506332</v>
      </c>
      <c r="Y86" s="234">
        <v>0.17866802779810337</v>
      </c>
      <c r="Z86" s="234">
        <v>0.17884033071114344</v>
      </c>
      <c r="AA86" s="234">
        <v>0.17901263362418349</v>
      </c>
      <c r="AB86" s="234">
        <v>0.17918493653722362</v>
      </c>
      <c r="AC86" s="234">
        <v>0.17935723945026366</v>
      </c>
      <c r="AD86" s="234">
        <v>0.17952954236330371</v>
      </c>
      <c r="AE86" s="234">
        <v>0.17970184527634384</v>
      </c>
      <c r="AF86" s="234">
        <v>0.17970184527634384</v>
      </c>
      <c r="AG86" s="234">
        <v>0.17970184527634384</v>
      </c>
      <c r="AH86" s="234">
        <v>0.17970184527634384</v>
      </c>
      <c r="AI86" s="234">
        <v>0.17970184527634384</v>
      </c>
      <c r="AJ86" s="234">
        <v>0.17970184527634384</v>
      </c>
      <c r="AK86" s="234">
        <v>0.17970184527634384</v>
      </c>
    </row>
    <row r="87" spans="2:37" ht="18" x14ac:dyDescent="0.35">
      <c r="B87" s="255" t="s">
        <v>1255</v>
      </c>
      <c r="C87" s="256" t="s">
        <v>1077</v>
      </c>
      <c r="D87" s="234">
        <v>-0.22041755725832901</v>
      </c>
      <c r="E87" s="234">
        <v>-0.22050076311260741</v>
      </c>
      <c r="F87" s="234">
        <v>-0.22058396896688581</v>
      </c>
      <c r="G87" s="234">
        <v>-0.22070054575221842</v>
      </c>
      <c r="H87" s="234">
        <v>-0.22081712253755006</v>
      </c>
      <c r="I87" s="234">
        <v>-0.22093369932288257</v>
      </c>
      <c r="J87" s="234">
        <v>-0.2210502761082152</v>
      </c>
      <c r="K87" s="234">
        <v>-0.22116685289354771</v>
      </c>
      <c r="L87" s="234">
        <v>-0.22128342967887935</v>
      </c>
      <c r="M87" s="234">
        <v>-0.22140000646421201</v>
      </c>
      <c r="N87" s="234">
        <v>-0.22151658324954451</v>
      </c>
      <c r="O87" s="234">
        <v>-0.22165861119397379</v>
      </c>
      <c r="P87" s="234">
        <v>-0.22180063913840303</v>
      </c>
      <c r="Q87" s="234">
        <v>-0.22194266708283231</v>
      </c>
      <c r="R87" s="234">
        <v>-0.22208469502726158</v>
      </c>
      <c r="S87" s="234">
        <v>-0.22222672297169085</v>
      </c>
      <c r="T87" s="234">
        <v>-0.2223687509161201</v>
      </c>
      <c r="U87" s="234">
        <v>-0.22251077886054937</v>
      </c>
      <c r="V87" s="234">
        <v>-0.22265280680497862</v>
      </c>
      <c r="W87" s="234">
        <v>-0.22279483474940789</v>
      </c>
      <c r="X87" s="234">
        <v>-0.22301010764296866</v>
      </c>
      <c r="Y87" s="234">
        <v>-0.22322538053652932</v>
      </c>
      <c r="Z87" s="234">
        <v>-0.22344065343009001</v>
      </c>
      <c r="AA87" s="234">
        <v>-0.22365592632365167</v>
      </c>
      <c r="AB87" s="234">
        <v>-0.22387119921721232</v>
      </c>
      <c r="AC87" s="234">
        <v>-0.22408647211077301</v>
      </c>
      <c r="AD87" s="234">
        <v>-0.22430174500433367</v>
      </c>
      <c r="AE87" s="234">
        <v>-0.22451701789789544</v>
      </c>
      <c r="AF87" s="234">
        <v>-0.22451701789789544</v>
      </c>
      <c r="AG87" s="234">
        <v>-0.22451701789789544</v>
      </c>
      <c r="AH87" s="234">
        <v>-0.22451701789789544</v>
      </c>
      <c r="AI87" s="234">
        <v>-0.22451701789789544</v>
      </c>
      <c r="AJ87" s="234">
        <v>-0.22451701789789544</v>
      </c>
      <c r="AK87" s="234">
        <v>-0.22451701789789544</v>
      </c>
    </row>
    <row r="88" spans="2:37" ht="18" x14ac:dyDescent="0.35">
      <c r="B88" s="255" t="s">
        <v>1251</v>
      </c>
      <c r="C88" s="256" t="s">
        <v>1077</v>
      </c>
      <c r="D88" s="234">
        <v>-5.4649466666666698E-4</v>
      </c>
      <c r="E88" s="234">
        <v>9.6697828333333347E-3</v>
      </c>
      <c r="F88" s="234">
        <v>9.7214538666666669E-3</v>
      </c>
      <c r="G88" s="234">
        <v>2.9162752666666695E-3</v>
      </c>
      <c r="H88" s="234">
        <v>2.8515556666667023E-4</v>
      </c>
      <c r="I88" s="234">
        <v>-1.2924289766666701E-2</v>
      </c>
      <c r="J88" s="234">
        <v>-1.0561206699999966E-2</v>
      </c>
      <c r="K88" s="234">
        <v>-1.0619601666666633E-2</v>
      </c>
      <c r="L88" s="234">
        <v>-2.0818319866666702E-2</v>
      </c>
      <c r="M88" s="234">
        <v>-4.0012161933333297E-2</v>
      </c>
      <c r="N88" s="234">
        <v>-4.1050932266666625E-2</v>
      </c>
      <c r="O88" s="234">
        <v>-4.1017609233333335E-2</v>
      </c>
      <c r="P88" s="234">
        <v>-4.1022788400000003E-2</v>
      </c>
      <c r="Q88" s="234">
        <v>-4.2636958099999969E-2</v>
      </c>
      <c r="R88" s="234">
        <v>-4.4483894400000001E-2</v>
      </c>
      <c r="S88" s="234">
        <v>-4.4474655500000036E-2</v>
      </c>
      <c r="T88" s="234">
        <v>-4.7172479199999964E-2</v>
      </c>
      <c r="U88" s="234">
        <v>-4.7476802633333329E-2</v>
      </c>
      <c r="V88" s="234">
        <v>-5.2957746233333367E-2</v>
      </c>
      <c r="W88" s="234">
        <v>-5.256436753333333E-2</v>
      </c>
      <c r="X88" s="234">
        <v>-6.5555738233333355E-2</v>
      </c>
      <c r="Y88" s="234">
        <v>-6.9372499533333354E-2</v>
      </c>
      <c r="Z88" s="234">
        <v>-7.1435766599999964E-2</v>
      </c>
      <c r="AA88" s="234">
        <v>-8.3131107400000029E-2</v>
      </c>
      <c r="AB88" s="234">
        <v>-8.5364079533333304E-2</v>
      </c>
      <c r="AC88" s="234">
        <v>-8.991006933333337E-2</v>
      </c>
      <c r="AD88" s="234">
        <v>-0.14826537843333368</v>
      </c>
      <c r="AE88" s="234">
        <v>-0.14982471973333333</v>
      </c>
      <c r="AF88" s="234">
        <v>-0.1344915132</v>
      </c>
      <c r="AG88" s="234">
        <v>-5.3519066333333337E-2</v>
      </c>
      <c r="AH88" s="234">
        <v>-7.7374876333333301E-2</v>
      </c>
      <c r="AI88" s="234">
        <v>-8.97224193931839E-2</v>
      </c>
      <c r="AJ88" s="234">
        <v>-8.9470079111974007E-2</v>
      </c>
      <c r="AK88" s="234">
        <v>-8.9234262354887697E-2</v>
      </c>
    </row>
    <row r="89" spans="2:37" hidden="1" x14ac:dyDescent="0.25">
      <c r="B89" s="259" t="s">
        <v>1273</v>
      </c>
      <c r="C89" s="256" t="s">
        <v>535</v>
      </c>
      <c r="D89" s="234">
        <v>-4.0197789429709816E-3</v>
      </c>
      <c r="E89" s="234">
        <v>1.6986254501319066E-3</v>
      </c>
      <c r="F89" s="234">
        <v>1.7733441765681287E-3</v>
      </c>
      <c r="G89" s="234">
        <v>-1.8792020992592358E-3</v>
      </c>
      <c r="H89" s="234">
        <v>-2.8085737084199338E-3</v>
      </c>
      <c r="I89" s="234">
        <v>-3.0636746509139752E-3</v>
      </c>
      <c r="J89" s="234">
        <v>-3.0877829267413402E-3</v>
      </c>
      <c r="K89" s="234">
        <v>-3.1383931359020368E-3</v>
      </c>
      <c r="L89" s="234">
        <v>-3.2845937117294021E-3</v>
      </c>
      <c r="M89" s="234">
        <v>-2.5805984208901109E-3</v>
      </c>
      <c r="N89" s="234">
        <v>-1.9792448633841392E-3</v>
      </c>
      <c r="O89" s="234">
        <v>-2.3538941634331191E-3</v>
      </c>
      <c r="P89" s="234">
        <v>-2.3599928634820957E-3</v>
      </c>
      <c r="Q89" s="234">
        <v>-2.3615019968644172E-3</v>
      </c>
      <c r="R89" s="234">
        <v>-2.2833546302467268E-3</v>
      </c>
      <c r="S89" s="234">
        <v>-2.3174545636290367E-3</v>
      </c>
      <c r="T89" s="234">
        <v>-2.352968730344681E-3</v>
      </c>
      <c r="U89" s="234">
        <v>-2.3162128970603342E-3</v>
      </c>
      <c r="V89" s="234">
        <v>-2.1928107971093155E-3</v>
      </c>
      <c r="W89" s="234">
        <v>-2.2344486638249507E-3</v>
      </c>
      <c r="X89" s="234">
        <v>-2.3923199385661488E-3</v>
      </c>
      <c r="Y89" s="234">
        <v>-2.2309858799740064E-3</v>
      </c>
      <c r="Z89" s="234">
        <v>-2.3020268213818709E-3</v>
      </c>
      <c r="AA89" s="234">
        <v>-2.265058762789731E-3</v>
      </c>
      <c r="AB89" s="234">
        <v>-2.2151327041975985E-3</v>
      </c>
      <c r="AC89" s="234">
        <v>-2.1100343122721263E-3</v>
      </c>
      <c r="AD89" s="234">
        <v>-2.1955805870133224E-3</v>
      </c>
      <c r="AE89" s="234">
        <v>-2.3233631950878497E-3</v>
      </c>
      <c r="AF89" s="234">
        <v>-3.2137790950878494E-3</v>
      </c>
      <c r="AG89" s="234">
        <v>-3.6581215284211825E-3</v>
      </c>
      <c r="AH89" s="234">
        <v>-3.2765131950878495E-3</v>
      </c>
      <c r="AI89" s="234">
        <v>-3.3643052828156599E-3</v>
      </c>
      <c r="AJ89" s="234">
        <v>-3.3643629687766627E-3</v>
      </c>
      <c r="AK89" s="234">
        <v>-3.3644895752511961E-3</v>
      </c>
    </row>
    <row r="90" spans="2:37" ht="18" hidden="1" x14ac:dyDescent="0.35">
      <c r="B90" s="255" t="s">
        <v>1250</v>
      </c>
      <c r="C90" s="256" t="s">
        <v>1077</v>
      </c>
      <c r="D90" s="234">
        <v>-1.9606430981354201E-3</v>
      </c>
      <c r="E90" s="234">
        <v>-1.9613832251286802E-3</v>
      </c>
      <c r="F90" s="234">
        <v>-1.9621233521219402E-3</v>
      </c>
      <c r="G90" s="234">
        <v>-1.96316031792633E-3</v>
      </c>
      <c r="H90" s="234">
        <v>-1.9641972837307199E-3</v>
      </c>
      <c r="I90" s="234">
        <v>-1.9652342495351202E-3</v>
      </c>
      <c r="J90" s="234">
        <v>-1.96627121533951E-3</v>
      </c>
      <c r="K90" s="234">
        <v>-1.9673081811438999E-3</v>
      </c>
      <c r="L90" s="234">
        <v>-1.9683451469482902E-3</v>
      </c>
      <c r="M90" s="234">
        <v>-1.96938211275269E-3</v>
      </c>
      <c r="N90" s="234">
        <v>-1.9704190785570798E-3</v>
      </c>
      <c r="O90" s="234">
        <v>-1.9716824357616999E-3</v>
      </c>
      <c r="P90" s="234">
        <v>-1.97294579296632E-3</v>
      </c>
      <c r="Q90" s="234">
        <v>-1.9742091501709501E-3</v>
      </c>
      <c r="R90" s="234">
        <v>-1.9754725073755702E-3</v>
      </c>
      <c r="S90" s="234">
        <v>-1.9767358645801899E-3</v>
      </c>
      <c r="T90" s="234">
        <v>-1.97799922178481E-3</v>
      </c>
      <c r="U90" s="234">
        <v>-1.97926257898944E-3</v>
      </c>
      <c r="V90" s="234">
        <v>-1.9805259361940601E-3</v>
      </c>
      <c r="W90" s="234">
        <v>-1.9817892933986802E-3</v>
      </c>
      <c r="X90" s="234">
        <v>-1.9837041740380702E-3</v>
      </c>
      <c r="Y90" s="234">
        <v>-1.9856190546774601E-3</v>
      </c>
      <c r="Z90" s="234">
        <v>-1.9875339353168501E-3</v>
      </c>
      <c r="AA90" s="234">
        <v>-1.9894488159562401E-3</v>
      </c>
      <c r="AB90" s="234">
        <v>-1.99136369659564E-3</v>
      </c>
      <c r="AC90" s="234">
        <v>-1.99327857723503E-3</v>
      </c>
      <c r="AD90" s="234">
        <v>-1.9951934578744199E-3</v>
      </c>
      <c r="AE90" s="234">
        <v>-1.9971083385138099E-3</v>
      </c>
      <c r="AF90" s="234">
        <v>-1.9971083385138099E-3</v>
      </c>
      <c r="AG90" s="234">
        <v>-1.9971083385138099E-3</v>
      </c>
      <c r="AH90" s="234">
        <v>-1.9971083385138099E-3</v>
      </c>
      <c r="AI90" s="234">
        <v>-1.9971083385138099E-3</v>
      </c>
      <c r="AJ90" s="234">
        <v>-1.9971083385138099E-3</v>
      </c>
      <c r="AK90" s="234">
        <v>-1.9971083385138099E-3</v>
      </c>
    </row>
    <row r="91" spans="2:37" ht="18" hidden="1" x14ac:dyDescent="0.35">
      <c r="B91" s="255" t="s">
        <v>1253</v>
      </c>
      <c r="C91" s="256" t="s">
        <v>1077</v>
      </c>
      <c r="D91" s="234">
        <v>-2.70476001829021E-4</v>
      </c>
      <c r="E91" s="234">
        <v>-2.7057810434333101E-4</v>
      </c>
      <c r="F91" s="234">
        <v>-2.7068020685763999E-4</v>
      </c>
      <c r="G91" s="234">
        <v>-2.7082325908630499E-4</v>
      </c>
      <c r="H91" s="234">
        <v>-2.7096631131497102E-4</v>
      </c>
      <c r="I91" s="234">
        <v>-2.7110936354363601E-4</v>
      </c>
      <c r="J91" s="234">
        <v>-2.7125241577230101E-4</v>
      </c>
      <c r="K91" s="234">
        <v>-2.7139546800096601E-4</v>
      </c>
      <c r="L91" s="234">
        <v>-2.7153852022963198E-4</v>
      </c>
      <c r="M91" s="234">
        <v>-2.7168157245829698E-4</v>
      </c>
      <c r="N91" s="234">
        <v>-2.7182462468696198E-4</v>
      </c>
      <c r="O91" s="234">
        <v>-2.71998908219704E-4</v>
      </c>
      <c r="P91" s="234">
        <v>-2.7217319175244499E-4</v>
      </c>
      <c r="Q91" s="234">
        <v>-2.7234747528518701E-4</v>
      </c>
      <c r="R91" s="234">
        <v>-2.72521758817928E-4</v>
      </c>
      <c r="S91" s="234">
        <v>-2.7269604235067001E-4</v>
      </c>
      <c r="T91" s="234">
        <v>-2.72870325883411E-4</v>
      </c>
      <c r="U91" s="234">
        <v>-2.7304460941615199E-4</v>
      </c>
      <c r="V91" s="234">
        <v>-2.7321889294889401E-4</v>
      </c>
      <c r="W91" s="234">
        <v>-2.73393176481635E-4</v>
      </c>
      <c r="X91" s="234">
        <v>-2.7365733942889202E-4</v>
      </c>
      <c r="Y91" s="234">
        <v>-2.7392150237614898E-4</v>
      </c>
      <c r="Z91" s="234">
        <v>-2.7418566532340599E-4</v>
      </c>
      <c r="AA91" s="234">
        <v>-2.7444982827066301E-4</v>
      </c>
      <c r="AB91" s="234">
        <v>-2.7471399121792002E-4</v>
      </c>
      <c r="AC91" s="234">
        <v>-2.7497815416517698E-4</v>
      </c>
      <c r="AD91" s="234">
        <v>-2.7524231711243302E-4</v>
      </c>
      <c r="AE91" s="234">
        <v>-2.7550648005968999E-4</v>
      </c>
      <c r="AF91" s="234">
        <v>-2.7550648005968999E-4</v>
      </c>
      <c r="AG91" s="234">
        <v>-2.7550648005968999E-4</v>
      </c>
      <c r="AH91" s="234">
        <v>-2.7550648005968999E-4</v>
      </c>
      <c r="AI91" s="234">
        <v>-2.7550648005968999E-4</v>
      </c>
      <c r="AJ91" s="234">
        <v>-2.7550648005968999E-4</v>
      </c>
      <c r="AK91" s="234">
        <v>-2.7550648005968999E-4</v>
      </c>
    </row>
    <row r="92" spans="2:37" ht="18" hidden="1" x14ac:dyDescent="0.35">
      <c r="B92" s="255" t="s">
        <v>1254</v>
      </c>
      <c r="C92" s="256" t="s">
        <v>1077</v>
      </c>
      <c r="D92" s="234">
        <v>-1.0243427964369699E-4</v>
      </c>
      <c r="E92" s="234">
        <v>-1.02472947760027E-4</v>
      </c>
      <c r="F92" s="234">
        <v>-1.02511615876356E-4</v>
      </c>
      <c r="G92" s="234">
        <v>-1.02565792409194E-4</v>
      </c>
      <c r="H92" s="234">
        <v>-1.0261996894203099E-4</v>
      </c>
      <c r="I92" s="234">
        <v>-1.0267414547486801E-4</v>
      </c>
      <c r="J92" s="234">
        <v>-1.02728322007705E-4</v>
      </c>
      <c r="K92" s="234">
        <v>-1.02782498540542E-4</v>
      </c>
      <c r="L92" s="234">
        <v>-1.02836675073379E-4</v>
      </c>
      <c r="M92" s="234">
        <v>-1.0289085160621699E-4</v>
      </c>
      <c r="N92" s="234">
        <v>-1.0294502813905401E-4</v>
      </c>
      <c r="O92" s="234">
        <v>-1.0301103254613399E-4</v>
      </c>
      <c r="P92" s="234">
        <v>-1.03077036953214E-4</v>
      </c>
      <c r="Q92" s="234">
        <v>-1.03143041360294E-4</v>
      </c>
      <c r="R92" s="234">
        <v>-1.03209045767374E-4</v>
      </c>
      <c r="S92" s="234">
        <v>-1.03275050174454E-4</v>
      </c>
      <c r="T92" s="234">
        <v>-1.03341054581535E-4</v>
      </c>
      <c r="U92" s="234">
        <v>-1.03407058988615E-4</v>
      </c>
      <c r="V92" s="234">
        <v>-1.03473063395695E-4</v>
      </c>
      <c r="W92" s="234">
        <v>-1.03539067802775E-4</v>
      </c>
      <c r="X92" s="234">
        <v>-1.03639111211535E-4</v>
      </c>
      <c r="Y92" s="234">
        <v>-1.0373915462029501E-4</v>
      </c>
      <c r="Z92" s="234">
        <v>-1.03839198029056E-4</v>
      </c>
      <c r="AA92" s="234">
        <v>-1.03939241437816E-4</v>
      </c>
      <c r="AB92" s="234">
        <v>-1.04039284846576E-4</v>
      </c>
      <c r="AC92" s="234">
        <v>-1.04139328255336E-4</v>
      </c>
      <c r="AD92" s="234">
        <v>-1.04239371664097E-4</v>
      </c>
      <c r="AE92" s="234">
        <v>-1.04339415072857E-4</v>
      </c>
      <c r="AF92" s="234">
        <v>-1.04339415072857E-4</v>
      </c>
      <c r="AG92" s="234">
        <v>-1.04339415072857E-4</v>
      </c>
      <c r="AH92" s="234">
        <v>-1.04339415072857E-4</v>
      </c>
      <c r="AI92" s="234">
        <v>-1.04339415072857E-4</v>
      </c>
      <c r="AJ92" s="234">
        <v>-1.04339415072857E-4</v>
      </c>
      <c r="AK92" s="234">
        <v>-1.04339415072857E-4</v>
      </c>
    </row>
    <row r="93" spans="2:37" ht="18" hidden="1" x14ac:dyDescent="0.35">
      <c r="B93" s="255" t="s">
        <v>1255</v>
      </c>
      <c r="C93" s="256" t="s">
        <v>1077</v>
      </c>
      <c r="D93" s="234">
        <v>-8.8313389669617698E-4</v>
      </c>
      <c r="E93" s="234">
        <v>-8.8346727263605596E-4</v>
      </c>
      <c r="F93" s="234">
        <v>-8.8380064857593505E-4</v>
      </c>
      <c r="G93" s="234">
        <v>-8.8426772983740698E-4</v>
      </c>
      <c r="H93" s="234">
        <v>-8.8473481109887901E-4</v>
      </c>
      <c r="I93" s="234">
        <v>-8.8520189236035104E-4</v>
      </c>
      <c r="J93" s="234">
        <v>-8.8566897362182405E-4</v>
      </c>
      <c r="K93" s="234">
        <v>-8.8613605488329597E-4</v>
      </c>
      <c r="L93" s="234">
        <v>-8.8660313614476801E-4</v>
      </c>
      <c r="M93" s="234">
        <v>-8.8707021740624004E-4</v>
      </c>
      <c r="N93" s="234">
        <v>-8.8753729866771305E-4</v>
      </c>
      <c r="O93" s="234">
        <v>-8.8810635357224803E-4</v>
      </c>
      <c r="P93" s="234">
        <v>-8.8867540847678398E-4</v>
      </c>
      <c r="Q93" s="234">
        <v>-8.8924446338131896E-4</v>
      </c>
      <c r="R93" s="234">
        <v>-8.8981351828585405E-4</v>
      </c>
      <c r="S93" s="234">
        <v>-8.9038257319039001E-4</v>
      </c>
      <c r="T93" s="234">
        <v>-8.9095162809492499E-4</v>
      </c>
      <c r="U93" s="234">
        <v>-8.9152068299945997E-4</v>
      </c>
      <c r="V93" s="234">
        <v>-8.9208973790399603E-4</v>
      </c>
      <c r="W93" s="234">
        <v>-8.9265879280853101E-4</v>
      </c>
      <c r="X93" s="234">
        <v>-8.9352131388765099E-4</v>
      </c>
      <c r="Y93" s="234">
        <v>-8.9438383496677205E-4</v>
      </c>
      <c r="Z93" s="234">
        <v>-8.9524635604589203E-4</v>
      </c>
      <c r="AA93" s="234">
        <v>-8.9610887712501201E-4</v>
      </c>
      <c r="AB93" s="234">
        <v>-8.9697139820413296E-4</v>
      </c>
      <c r="AC93" s="234">
        <v>-8.9783391928325304E-4</v>
      </c>
      <c r="AD93" s="234">
        <v>-8.9869644036237302E-4</v>
      </c>
      <c r="AE93" s="234">
        <v>-8.99558961441493E-4</v>
      </c>
      <c r="AF93" s="234">
        <v>-8.99558961441493E-4</v>
      </c>
      <c r="AG93" s="234">
        <v>-8.99558961441493E-4</v>
      </c>
      <c r="AH93" s="234">
        <v>-8.99558961441493E-4</v>
      </c>
      <c r="AI93" s="234">
        <v>-8.99558961441493E-4</v>
      </c>
      <c r="AJ93" s="234">
        <v>-8.99558961441493E-4</v>
      </c>
      <c r="AK93" s="234">
        <v>-8.99558961441493E-4</v>
      </c>
    </row>
    <row r="94" spans="2:37" ht="18" hidden="1" x14ac:dyDescent="0.35">
      <c r="B94" s="255" t="s">
        <v>1251</v>
      </c>
      <c r="C94" s="256" t="s">
        <v>1077</v>
      </c>
      <c r="D94" s="234">
        <v>-8.0309166666666699E-4</v>
      </c>
      <c r="E94" s="234">
        <v>4.9165270000000004E-3</v>
      </c>
      <c r="F94" s="234">
        <v>4.9924599999999998E-3</v>
      </c>
      <c r="G94" s="234">
        <v>1.341615E-3</v>
      </c>
      <c r="H94" s="234">
        <v>4.1394466666666699E-4</v>
      </c>
      <c r="I94" s="234">
        <v>1.60545E-4</v>
      </c>
      <c r="J94" s="234">
        <v>1.38138E-4</v>
      </c>
      <c r="K94" s="234">
        <v>8.9229066666666703E-5</v>
      </c>
      <c r="L94" s="234">
        <v>-5.5270233333333298E-5</v>
      </c>
      <c r="M94" s="234">
        <v>6.5042633333333301E-4</v>
      </c>
      <c r="N94" s="234">
        <v>1.2534811666666699E-3</v>
      </c>
      <c r="O94" s="234">
        <v>8.8090456666666699E-4</v>
      </c>
      <c r="P94" s="234">
        <v>8.7687856666666703E-4</v>
      </c>
      <c r="Q94" s="234">
        <v>8.7744213333333296E-4</v>
      </c>
      <c r="R94" s="234">
        <v>9.5766220000000003E-4</v>
      </c>
      <c r="S94" s="234">
        <v>9.2563496666666701E-4</v>
      </c>
      <c r="T94" s="234">
        <v>8.9219349999999995E-4</v>
      </c>
      <c r="U94" s="234">
        <v>9.3102203333333305E-4</v>
      </c>
      <c r="V94" s="234">
        <v>1.0564968333333299E-3</v>
      </c>
      <c r="W94" s="234">
        <v>1.01693166666667E-3</v>
      </c>
      <c r="X94" s="234">
        <v>8.6220199999999996E-4</v>
      </c>
      <c r="Y94" s="234">
        <v>1.0266776666666699E-3</v>
      </c>
      <c r="Z94" s="234">
        <v>9.5877833333333302E-4</v>
      </c>
      <c r="AA94" s="234">
        <v>9.9888800000000008E-4</v>
      </c>
      <c r="AB94" s="234">
        <v>1.05195566666667E-3</v>
      </c>
      <c r="AC94" s="234">
        <v>1.1601956666666699E-3</v>
      </c>
      <c r="AD94" s="234">
        <v>1.077791E-3</v>
      </c>
      <c r="AE94" s="234">
        <v>9.5315000000000005E-4</v>
      </c>
      <c r="AF94" s="234">
        <v>6.2734100000000006E-5</v>
      </c>
      <c r="AG94" s="234">
        <v>-3.8160833333333302E-4</v>
      </c>
      <c r="AH94" s="234">
        <v>0</v>
      </c>
      <c r="AI94" s="234">
        <v>-8.7792087727810601E-5</v>
      </c>
      <c r="AJ94" s="234">
        <v>-8.7849773688813203E-5</v>
      </c>
      <c r="AK94" s="234">
        <v>-8.79763801633464E-5</v>
      </c>
    </row>
    <row r="95" spans="2:37" hidden="1" x14ac:dyDescent="0.25">
      <c r="B95" s="259" t="s">
        <v>1274</v>
      </c>
      <c r="C95" s="256" t="s">
        <v>535</v>
      </c>
      <c r="D95" s="234">
        <v>-0.66713096475797595</v>
      </c>
      <c r="E95" s="234">
        <v>-0.66296033722785308</v>
      </c>
      <c r="F95" s="234">
        <v>-0.66327157903106349</v>
      </c>
      <c r="G95" s="234">
        <v>-0.66675592867101607</v>
      </c>
      <c r="H95" s="234">
        <v>-0.66789608774430076</v>
      </c>
      <c r="I95" s="234">
        <v>-0.66859240378425322</v>
      </c>
      <c r="J95" s="234">
        <v>-0.66907243049087217</v>
      </c>
      <c r="K95" s="234">
        <v>-0.66946699416415711</v>
      </c>
      <c r="L95" s="234">
        <v>-0.6699246435707753</v>
      </c>
      <c r="M95" s="234">
        <v>-0.67025604341072764</v>
      </c>
      <c r="N95" s="234">
        <v>-0.67040447621734678</v>
      </c>
      <c r="O95" s="234">
        <v>-0.67088809074801203</v>
      </c>
      <c r="P95" s="234">
        <v>-0.67131951871201168</v>
      </c>
      <c r="Q95" s="234">
        <v>-0.67173894384267807</v>
      </c>
      <c r="R95" s="234">
        <v>-0.67217197377334226</v>
      </c>
      <c r="S95" s="234">
        <v>-0.67261353090400866</v>
      </c>
      <c r="T95" s="234">
        <v>-0.67326520123467382</v>
      </c>
      <c r="U95" s="234">
        <v>-0.67369652616533926</v>
      </c>
      <c r="V95" s="234">
        <v>-0.67411629449600563</v>
      </c>
      <c r="W95" s="234">
        <v>-0.6745626553266707</v>
      </c>
      <c r="X95" s="234">
        <v>-0.6752587778851411</v>
      </c>
      <c r="Y95" s="234">
        <v>-0.67589987697694465</v>
      </c>
      <c r="Z95" s="234">
        <v>-0.67656344943541513</v>
      </c>
      <c r="AA95" s="234">
        <v>-0.67718342412721988</v>
      </c>
      <c r="AB95" s="234">
        <v>-0.67781739595235679</v>
      </c>
      <c r="AC95" s="234">
        <v>-0.67838998704416054</v>
      </c>
      <c r="AD95" s="234">
        <v>-0.6789145759692975</v>
      </c>
      <c r="AE95" s="234">
        <v>-0.67959061436110235</v>
      </c>
      <c r="AF95" s="234">
        <v>-0.67955941176110235</v>
      </c>
      <c r="AG95" s="234">
        <v>-0.67952524832776906</v>
      </c>
      <c r="AH95" s="234">
        <v>-0.68017610732776901</v>
      </c>
      <c r="AI95" s="234">
        <v>-0.67975658481099088</v>
      </c>
      <c r="AJ95" s="234">
        <v>-0.67974165039656254</v>
      </c>
      <c r="AK95" s="234">
        <v>-0.6797392982751157</v>
      </c>
    </row>
    <row r="96" spans="2:37" ht="18" hidden="1" x14ac:dyDescent="0.35">
      <c r="B96" s="255" t="s">
        <v>1250</v>
      </c>
      <c r="C96" s="256" t="s">
        <v>1077</v>
      </c>
      <c r="D96" s="234">
        <v>-0.56728998594838798</v>
      </c>
      <c r="E96" s="234">
        <v>-0.567504133353393</v>
      </c>
      <c r="F96" s="234">
        <v>-0.56771828075839803</v>
      </c>
      <c r="G96" s="234">
        <v>-0.56801831512832601</v>
      </c>
      <c r="H96" s="234">
        <v>-0.56831834949825399</v>
      </c>
      <c r="I96" s="234">
        <v>-0.56861838386818198</v>
      </c>
      <c r="J96" s="234">
        <v>-0.56891841823810996</v>
      </c>
      <c r="K96" s="234">
        <v>-0.56921845260803805</v>
      </c>
      <c r="L96" s="234">
        <v>-0.56951848697796603</v>
      </c>
      <c r="M96" s="234">
        <v>-0.56981852134789401</v>
      </c>
      <c r="N96" s="234">
        <v>-0.570118555717822</v>
      </c>
      <c r="O96" s="234">
        <v>-0.57048409388820098</v>
      </c>
      <c r="P96" s="234">
        <v>-0.57084963205857997</v>
      </c>
      <c r="Q96" s="234">
        <v>-0.57121517022895896</v>
      </c>
      <c r="R96" s="234">
        <v>-0.57158070839933695</v>
      </c>
      <c r="S96" s="234">
        <v>-0.57194624656971604</v>
      </c>
      <c r="T96" s="234">
        <v>-0.57231178474009503</v>
      </c>
      <c r="U96" s="234">
        <v>-0.57267732291047302</v>
      </c>
      <c r="V96" s="234">
        <v>-0.57304286108085201</v>
      </c>
      <c r="W96" s="234">
        <v>-0.57340839925123099</v>
      </c>
      <c r="X96" s="234">
        <v>-0.57396244838543897</v>
      </c>
      <c r="Y96" s="234">
        <v>-0.57451649751964695</v>
      </c>
      <c r="Z96" s="234">
        <v>-0.57507054665385504</v>
      </c>
      <c r="AA96" s="234">
        <v>-0.57562459578806302</v>
      </c>
      <c r="AB96" s="234">
        <v>-0.576178644922271</v>
      </c>
      <c r="AC96" s="234">
        <v>-0.57673269405647898</v>
      </c>
      <c r="AD96" s="234">
        <v>-0.57728674319068696</v>
      </c>
      <c r="AE96" s="234">
        <v>-0.57784079232489505</v>
      </c>
      <c r="AF96" s="234">
        <v>-0.57784079232489505</v>
      </c>
      <c r="AG96" s="234">
        <v>-0.57784079232489505</v>
      </c>
      <c r="AH96" s="234">
        <v>-0.57784079232489505</v>
      </c>
      <c r="AI96" s="234">
        <v>-0.57784079232489505</v>
      </c>
      <c r="AJ96" s="234">
        <v>-0.57784079232489505</v>
      </c>
      <c r="AK96" s="234">
        <v>-0.57784079232489505</v>
      </c>
    </row>
    <row r="97" spans="2:37" ht="18" hidden="1" x14ac:dyDescent="0.35">
      <c r="B97" s="255" t="s">
        <v>1253</v>
      </c>
      <c r="C97" s="256" t="s">
        <v>1077</v>
      </c>
      <c r="D97" s="234">
        <v>-8.0512893457511697E-2</v>
      </c>
      <c r="E97" s="234">
        <v>-8.0543286426946095E-2</v>
      </c>
      <c r="F97" s="234">
        <v>-8.0573679396380493E-2</v>
      </c>
      <c r="G97" s="234">
        <v>-8.0616261913008594E-2</v>
      </c>
      <c r="H97" s="234">
        <v>-8.0658844429636806E-2</v>
      </c>
      <c r="I97" s="234">
        <v>-8.0701426946264906E-2</v>
      </c>
      <c r="J97" s="234">
        <v>-8.0744009462892993E-2</v>
      </c>
      <c r="K97" s="234">
        <v>-8.0786591979521094E-2</v>
      </c>
      <c r="L97" s="234">
        <v>-8.0829174496149195E-2</v>
      </c>
      <c r="M97" s="234">
        <v>-8.0871757012777296E-2</v>
      </c>
      <c r="N97" s="234">
        <v>-8.0914339529405493E-2</v>
      </c>
      <c r="O97" s="234">
        <v>-8.0966218703188403E-2</v>
      </c>
      <c r="P97" s="234">
        <v>-8.1018097876971396E-2</v>
      </c>
      <c r="Q97" s="234">
        <v>-8.1069977050754402E-2</v>
      </c>
      <c r="R97" s="234">
        <v>-8.1121856224537298E-2</v>
      </c>
      <c r="S97" s="234">
        <v>-8.1173735398320304E-2</v>
      </c>
      <c r="T97" s="234">
        <v>-8.12256145721032E-2</v>
      </c>
      <c r="U97" s="234">
        <v>-8.1277493745886206E-2</v>
      </c>
      <c r="V97" s="234">
        <v>-8.1329372919669199E-2</v>
      </c>
      <c r="W97" s="234">
        <v>-8.1381252093452094E-2</v>
      </c>
      <c r="X97" s="234">
        <v>-8.1459885772906498E-2</v>
      </c>
      <c r="Y97" s="234">
        <v>-8.1538519452360805E-2</v>
      </c>
      <c r="Z97" s="234">
        <v>-8.1617153131815195E-2</v>
      </c>
      <c r="AA97" s="234">
        <v>-8.1695786811269502E-2</v>
      </c>
      <c r="AB97" s="234">
        <v>-8.1774420490723795E-2</v>
      </c>
      <c r="AC97" s="234">
        <v>-8.1853054170178199E-2</v>
      </c>
      <c r="AD97" s="234">
        <v>-8.1931687849632506E-2</v>
      </c>
      <c r="AE97" s="234">
        <v>-8.2010321529086896E-2</v>
      </c>
      <c r="AF97" s="234">
        <v>-8.2010321529086896E-2</v>
      </c>
      <c r="AG97" s="234">
        <v>-8.2010321529086896E-2</v>
      </c>
      <c r="AH97" s="234">
        <v>-8.2010321529086896E-2</v>
      </c>
      <c r="AI97" s="234">
        <v>-8.2010321529086896E-2</v>
      </c>
      <c r="AJ97" s="234">
        <v>-8.2010321529086896E-2</v>
      </c>
      <c r="AK97" s="234">
        <v>-8.2010321529086896E-2</v>
      </c>
    </row>
    <row r="98" spans="2:37" ht="18" hidden="1" x14ac:dyDescent="0.35">
      <c r="B98" s="255" t="s">
        <v>1254</v>
      </c>
      <c r="C98" s="256" t="s">
        <v>1077</v>
      </c>
      <c r="D98" s="234">
        <v>0.183459531055361</v>
      </c>
      <c r="E98" s="234">
        <v>0.18352878555213001</v>
      </c>
      <c r="F98" s="234">
        <v>0.18359804004889901</v>
      </c>
      <c r="G98" s="234">
        <v>0.18369507007969599</v>
      </c>
      <c r="H98" s="234">
        <v>0.18379210011049299</v>
      </c>
      <c r="I98" s="234">
        <v>0.18388913014128999</v>
      </c>
      <c r="J98" s="234">
        <v>0.18398616017208699</v>
      </c>
      <c r="K98" s="234">
        <v>0.18408319020288499</v>
      </c>
      <c r="L98" s="234">
        <v>0.184180220233682</v>
      </c>
      <c r="M98" s="234">
        <v>0.184277250264479</v>
      </c>
      <c r="N98" s="234">
        <v>0.184374280295276</v>
      </c>
      <c r="O98" s="234">
        <v>0.184492494018384</v>
      </c>
      <c r="P98" s="234">
        <v>0.18461070774149099</v>
      </c>
      <c r="Q98" s="234">
        <v>0.18472892146459799</v>
      </c>
      <c r="R98" s="234">
        <v>0.18484713518770601</v>
      </c>
      <c r="S98" s="234">
        <v>0.18496534891081301</v>
      </c>
      <c r="T98" s="234">
        <v>0.18508356263392101</v>
      </c>
      <c r="U98" s="234">
        <v>0.185201776357028</v>
      </c>
      <c r="V98" s="234">
        <v>0.185319990080135</v>
      </c>
      <c r="W98" s="234">
        <v>0.185438203803243</v>
      </c>
      <c r="X98" s="234">
        <v>0.18561738129070299</v>
      </c>
      <c r="Y98" s="234">
        <v>0.18579655877816301</v>
      </c>
      <c r="Z98" s="234">
        <v>0.185975736265623</v>
      </c>
      <c r="AA98" s="234">
        <v>0.18615491375308299</v>
      </c>
      <c r="AB98" s="234">
        <v>0.18633409124054301</v>
      </c>
      <c r="AC98" s="234">
        <v>0.186513268728003</v>
      </c>
      <c r="AD98" s="234">
        <v>0.18669244621546299</v>
      </c>
      <c r="AE98" s="234">
        <v>0.18687162370292301</v>
      </c>
      <c r="AF98" s="234">
        <v>0.18687162370292301</v>
      </c>
      <c r="AG98" s="234">
        <v>0.18687162370292301</v>
      </c>
      <c r="AH98" s="234">
        <v>0.18687162370292301</v>
      </c>
      <c r="AI98" s="234">
        <v>0.18687162370292301</v>
      </c>
      <c r="AJ98" s="234">
        <v>0.18687162370292301</v>
      </c>
      <c r="AK98" s="234">
        <v>0.18687162370292301</v>
      </c>
    </row>
    <row r="99" spans="2:37" ht="18" hidden="1" x14ac:dyDescent="0.35">
      <c r="B99" s="255" t="s">
        <v>1255</v>
      </c>
      <c r="C99" s="256" t="s">
        <v>1077</v>
      </c>
      <c r="D99" s="234">
        <v>-0.20341341007410399</v>
      </c>
      <c r="E99" s="234">
        <v>-0.20349019699964399</v>
      </c>
      <c r="F99" s="234">
        <v>-0.20356698392518399</v>
      </c>
      <c r="G99" s="234">
        <v>-0.203674567376044</v>
      </c>
      <c r="H99" s="234">
        <v>-0.20378215082690301</v>
      </c>
      <c r="I99" s="234">
        <v>-0.203889734277763</v>
      </c>
      <c r="J99" s="234">
        <v>-0.20399731772862301</v>
      </c>
      <c r="K99" s="234">
        <v>-0.20410490117948299</v>
      </c>
      <c r="L99" s="234">
        <v>-0.204212484630342</v>
      </c>
      <c r="M99" s="234">
        <v>-0.20432006808120201</v>
      </c>
      <c r="N99" s="234">
        <v>-0.20442765153206199</v>
      </c>
      <c r="O99" s="234">
        <v>-0.20455872270834</v>
      </c>
      <c r="P99" s="234">
        <v>-0.204689793884618</v>
      </c>
      <c r="Q99" s="234">
        <v>-0.204820865060896</v>
      </c>
      <c r="R99" s="234">
        <v>-0.204951936237174</v>
      </c>
      <c r="S99" s="234">
        <v>-0.20508300741345201</v>
      </c>
      <c r="T99" s="234">
        <v>-0.20521407858973001</v>
      </c>
      <c r="U99" s="234">
        <v>-0.20534514976600801</v>
      </c>
      <c r="V99" s="234">
        <v>-0.20547622094228599</v>
      </c>
      <c r="W99" s="234">
        <v>-0.20560729211856399</v>
      </c>
      <c r="X99" s="234">
        <v>-0.20580595775083199</v>
      </c>
      <c r="Y99" s="234">
        <v>-0.20600462338309999</v>
      </c>
      <c r="Z99" s="234">
        <v>-0.206203289015368</v>
      </c>
      <c r="AA99" s="234">
        <v>-0.206401954647637</v>
      </c>
      <c r="AB99" s="234">
        <v>-0.206600620279905</v>
      </c>
      <c r="AC99" s="234">
        <v>-0.206799285912173</v>
      </c>
      <c r="AD99" s="234">
        <v>-0.20699795154444101</v>
      </c>
      <c r="AE99" s="234">
        <v>-0.20719661717671001</v>
      </c>
      <c r="AF99" s="234">
        <v>-0.20719661717671001</v>
      </c>
      <c r="AG99" s="234">
        <v>-0.20719661717671001</v>
      </c>
      <c r="AH99" s="234">
        <v>-0.20719661717671001</v>
      </c>
      <c r="AI99" s="234">
        <v>-0.20719661717671001</v>
      </c>
      <c r="AJ99" s="234">
        <v>-0.20719661717671001</v>
      </c>
      <c r="AK99" s="234">
        <v>-0.20719661717671001</v>
      </c>
    </row>
    <row r="100" spans="2:37" ht="18" hidden="1" x14ac:dyDescent="0.35">
      <c r="B100" s="255" t="s">
        <v>1251</v>
      </c>
      <c r="C100" s="256" t="s">
        <v>1077</v>
      </c>
      <c r="D100" s="234">
        <v>6.25793666666667E-4</v>
      </c>
      <c r="E100" s="234">
        <v>5.0484939999999997E-3</v>
      </c>
      <c r="F100" s="234">
        <v>4.9893250000000002E-3</v>
      </c>
      <c r="G100" s="234">
        <v>1.8581456666666701E-3</v>
      </c>
      <c r="H100" s="234">
        <v>1.0711569000000001E-3</v>
      </c>
      <c r="I100" s="234">
        <v>7.2801116666666699E-4</v>
      </c>
      <c r="J100" s="234">
        <v>6.0115476666666701E-4</v>
      </c>
      <c r="K100" s="234">
        <v>5.5976140000000001E-4</v>
      </c>
      <c r="L100" s="234">
        <v>4.5528229999999999E-4</v>
      </c>
      <c r="M100" s="234">
        <v>4.77052766666667E-4</v>
      </c>
      <c r="N100" s="234">
        <v>6.8179026666666698E-4</v>
      </c>
      <c r="O100" s="234">
        <v>6.2845053333333302E-4</v>
      </c>
      <c r="P100" s="234">
        <v>6.2729736666666705E-4</v>
      </c>
      <c r="Q100" s="234">
        <v>6.3814703333333299E-4</v>
      </c>
      <c r="R100" s="234">
        <v>6.353919E-4</v>
      </c>
      <c r="S100" s="234">
        <v>6.2410956666666701E-4</v>
      </c>
      <c r="T100" s="234">
        <v>4.0271403333333298E-4</v>
      </c>
      <c r="U100" s="234">
        <v>4.016639E-4</v>
      </c>
      <c r="V100" s="234">
        <v>4.1217036666666698E-4</v>
      </c>
      <c r="W100" s="234">
        <v>3.9608433333333299E-4</v>
      </c>
      <c r="X100" s="234">
        <v>3.5213273333333298E-4</v>
      </c>
      <c r="Y100" s="234">
        <v>3.6320459999999999E-4</v>
      </c>
      <c r="Z100" s="234">
        <v>3.5180310000000001E-4</v>
      </c>
      <c r="AA100" s="234">
        <v>3.8399936666666702E-4</v>
      </c>
      <c r="AB100" s="234">
        <v>4.0219849999999999E-4</v>
      </c>
      <c r="AC100" s="234">
        <v>4.8177836666666701E-4</v>
      </c>
      <c r="AD100" s="234">
        <v>6.0936040000000001E-4</v>
      </c>
      <c r="AE100" s="234">
        <v>5.8549296666666703E-4</v>
      </c>
      <c r="AF100" s="234">
        <v>6.1669556666666704E-4</v>
      </c>
      <c r="AG100" s="234">
        <v>6.5085900000000005E-4</v>
      </c>
      <c r="AH100" s="234">
        <v>0</v>
      </c>
      <c r="AI100" s="234">
        <v>4.1952251677816998E-4</v>
      </c>
      <c r="AJ100" s="234">
        <v>4.3445693120642702E-4</v>
      </c>
      <c r="AK100" s="234">
        <v>4.3680905265330698E-4</v>
      </c>
    </row>
    <row r="101" spans="2:37" hidden="1" x14ac:dyDescent="0.25">
      <c r="B101" s="259" t="s">
        <v>1275</v>
      </c>
      <c r="C101" s="256" t="s">
        <v>535</v>
      </c>
      <c r="D101" s="234">
        <v>-2.371898536880522E-2</v>
      </c>
      <c r="E101" s="234">
        <v>-2.3653841226156488E-2</v>
      </c>
      <c r="F101" s="234">
        <v>-2.3627748550174521E-2</v>
      </c>
      <c r="G101" s="234">
        <v>-2.3598621068453295E-2</v>
      </c>
      <c r="H101" s="234">
        <v>-2.45298097200655E-2</v>
      </c>
      <c r="I101" s="234">
        <v>-3.7166602538344314E-2</v>
      </c>
      <c r="J101" s="234">
        <v>-3.4675828689956452E-2</v>
      </c>
      <c r="K101" s="234">
        <v>-3.4656388174901992E-2</v>
      </c>
      <c r="L101" s="234">
        <v>-4.4588500993180832E-2</v>
      </c>
      <c r="M101" s="234">
        <v>-6.4527497144792972E-2</v>
      </c>
      <c r="N101" s="234">
        <v>-6.6383446629738413E-2</v>
      </c>
      <c r="O101" s="234">
        <v>-6.5946758933120617E-2</v>
      </c>
      <c r="P101" s="234">
        <v>-6.5961804569836135E-2</v>
      </c>
      <c r="Q101" s="234">
        <v>-6.7600083539884837E-2</v>
      </c>
      <c r="R101" s="234">
        <v>-6.950199584326705E-2</v>
      </c>
      <c r="S101" s="234">
        <v>-6.9464608146649259E-2</v>
      </c>
      <c r="T101" s="234">
        <v>-7.1919820450031258E-2</v>
      </c>
      <c r="U101" s="234">
        <v>-7.2276232753413466E-2</v>
      </c>
      <c r="V101" s="234">
        <v>-7.7896145056795665E-2</v>
      </c>
      <c r="W101" s="234">
        <v>-7.7463124026844479E-2</v>
      </c>
      <c r="X101" s="234">
        <v>-9.0222095485654102E-2</v>
      </c>
      <c r="Y101" s="234">
        <v>-9.4226900277797135E-2</v>
      </c>
      <c r="Z101" s="234">
        <v>-9.6048571736606761E-2</v>
      </c>
      <c r="AA101" s="234">
        <v>-0.10805660986208321</v>
      </c>
      <c r="AB101" s="234">
        <v>-0.11037768132089282</v>
      </c>
      <c r="AC101" s="234">
        <v>-0.11486501944636915</v>
      </c>
      <c r="AD101" s="234">
        <v>-0.17337372423851247</v>
      </c>
      <c r="AE101" s="234">
        <v>-0.17480416236398849</v>
      </c>
      <c r="AF101" s="234">
        <v>-0.15867816236398849</v>
      </c>
      <c r="AG101" s="234">
        <v>-7.6947062363988503E-2</v>
      </c>
      <c r="AH101" s="234">
        <v>-0.1006035156973218</v>
      </c>
      <c r="AI101" s="234">
        <v>-0.1133653188917436</v>
      </c>
      <c r="AJ101" s="234">
        <v>-0.1131323647183589</v>
      </c>
      <c r="AK101" s="234">
        <v>-0.11290304328648811</v>
      </c>
    </row>
    <row r="102" spans="2:37" ht="18" hidden="1" x14ac:dyDescent="0.35">
      <c r="B102" s="255" t="s">
        <v>1250</v>
      </c>
      <c r="C102" s="256" t="s">
        <v>1077</v>
      </c>
      <c r="D102" s="234">
        <v>-1.44046954986195E-2</v>
      </c>
      <c r="E102" s="234">
        <v>-1.4410133155263001E-2</v>
      </c>
      <c r="F102" s="234">
        <v>-1.44155708119066E-2</v>
      </c>
      <c r="G102" s="234">
        <v>-1.4423189320685099E-2</v>
      </c>
      <c r="H102" s="234">
        <v>-1.4430807829463699E-2</v>
      </c>
      <c r="I102" s="234">
        <v>-1.4438426338242201E-2</v>
      </c>
      <c r="J102" s="234">
        <v>-1.4446044847020801E-2</v>
      </c>
      <c r="K102" s="234">
        <v>-1.4453663355799401E-2</v>
      </c>
      <c r="L102" s="234">
        <v>-1.44612818645779E-2</v>
      </c>
      <c r="M102" s="234">
        <v>-1.44689003733565E-2</v>
      </c>
      <c r="N102" s="234">
        <v>-1.4476518882134999E-2</v>
      </c>
      <c r="O102" s="234">
        <v>-1.44858006712867E-2</v>
      </c>
      <c r="P102" s="234">
        <v>-1.44950824604384E-2</v>
      </c>
      <c r="Q102" s="234">
        <v>-1.450436424959E-2</v>
      </c>
      <c r="R102" s="234">
        <v>-1.4513646038741701E-2</v>
      </c>
      <c r="S102" s="234">
        <v>-1.4522927827893399E-2</v>
      </c>
      <c r="T102" s="234">
        <v>-1.4532209617044999E-2</v>
      </c>
      <c r="U102" s="234">
        <v>-1.45414914061967E-2</v>
      </c>
      <c r="V102" s="234">
        <v>-1.45507731953484E-2</v>
      </c>
      <c r="W102" s="234">
        <v>-1.4560054984500101E-2</v>
      </c>
      <c r="X102" s="234">
        <v>-1.4574123466699999E-2</v>
      </c>
      <c r="Y102" s="234">
        <v>-1.4588191948900001E-2</v>
      </c>
      <c r="Z102" s="234">
        <v>-1.46022604311E-2</v>
      </c>
      <c r="AA102" s="234">
        <v>-1.4616328913299999E-2</v>
      </c>
      <c r="AB102" s="234">
        <v>-1.4630397395500001E-2</v>
      </c>
      <c r="AC102" s="234">
        <v>-1.4644465877699899E-2</v>
      </c>
      <c r="AD102" s="234">
        <v>-1.4658534359899901E-2</v>
      </c>
      <c r="AE102" s="234">
        <v>-1.46726028420999E-2</v>
      </c>
      <c r="AF102" s="234">
        <v>-1.46726028420999E-2</v>
      </c>
      <c r="AG102" s="234">
        <v>-1.46726028420999E-2</v>
      </c>
      <c r="AH102" s="234">
        <v>-1.46726028420999E-2</v>
      </c>
      <c r="AI102" s="234">
        <v>-1.46726028420999E-2</v>
      </c>
      <c r="AJ102" s="234">
        <v>-1.46726028420999E-2</v>
      </c>
      <c r="AK102" s="234">
        <v>-1.46726028420999E-2</v>
      </c>
    </row>
    <row r="103" spans="2:37" ht="18" hidden="1" x14ac:dyDescent="0.35">
      <c r="B103" s="255" t="s">
        <v>1253</v>
      </c>
      <c r="C103" s="256" t="s">
        <v>1077</v>
      </c>
      <c r="D103" s="234">
        <v>-1.60052360125618E-3</v>
      </c>
      <c r="E103" s="234">
        <v>-1.60112778603707E-3</v>
      </c>
      <c r="F103" s="234">
        <v>-1.60173197081795E-3</v>
      </c>
      <c r="G103" s="234">
        <v>-1.6025784727872301E-3</v>
      </c>
      <c r="H103" s="234">
        <v>-1.6034249747565101E-3</v>
      </c>
      <c r="I103" s="234">
        <v>-1.6042714767257899E-3</v>
      </c>
      <c r="J103" s="234">
        <v>-1.60511797869507E-3</v>
      </c>
      <c r="K103" s="234">
        <v>-1.60596448066435E-3</v>
      </c>
      <c r="L103" s="234">
        <v>-1.60681098263363E-3</v>
      </c>
      <c r="M103" s="234">
        <v>-1.6076574846029101E-3</v>
      </c>
      <c r="N103" s="234">
        <v>-1.6085039865721901E-3</v>
      </c>
      <c r="O103" s="234">
        <v>-1.6095352976888001E-3</v>
      </c>
      <c r="P103" s="234">
        <v>-1.6105666088054101E-3</v>
      </c>
      <c r="Q103" s="234">
        <v>-1.6115979199220201E-3</v>
      </c>
      <c r="R103" s="234">
        <v>-1.61262923103864E-3</v>
      </c>
      <c r="S103" s="234">
        <v>-1.61366054215525E-3</v>
      </c>
      <c r="T103" s="234">
        <v>-1.61469185327186E-3</v>
      </c>
      <c r="U103" s="234">
        <v>-1.61572316438847E-3</v>
      </c>
      <c r="V103" s="234">
        <v>-1.61675447550508E-3</v>
      </c>
      <c r="W103" s="234">
        <v>-1.6177857866216899E-3</v>
      </c>
      <c r="X103" s="234">
        <v>-1.6193489531459099E-3</v>
      </c>
      <c r="Y103" s="234">
        <v>-1.6209121196701199E-3</v>
      </c>
      <c r="Z103" s="234">
        <v>-1.6224752861943299E-3</v>
      </c>
      <c r="AA103" s="234">
        <v>-1.6240384527185501E-3</v>
      </c>
      <c r="AB103" s="234">
        <v>-1.6256016192427601E-3</v>
      </c>
      <c r="AC103" s="234">
        <v>-1.6271647857669701E-3</v>
      </c>
      <c r="AD103" s="234">
        <v>-1.6287279522911799E-3</v>
      </c>
      <c r="AE103" s="234">
        <v>-1.6302911188154001E-3</v>
      </c>
      <c r="AF103" s="234">
        <v>-1.6302911188154001E-3</v>
      </c>
      <c r="AG103" s="234">
        <v>-1.6302911188154001E-3</v>
      </c>
      <c r="AH103" s="234">
        <v>-1.6302911188154001E-3</v>
      </c>
      <c r="AI103" s="234">
        <v>-1.6302911188154001E-3</v>
      </c>
      <c r="AJ103" s="234">
        <v>-1.6302911188154001E-3</v>
      </c>
      <c r="AK103" s="234">
        <v>-1.6302911188154001E-3</v>
      </c>
    </row>
    <row r="104" spans="2:37" ht="18" hidden="1" x14ac:dyDescent="0.35">
      <c r="B104" s="255" t="s">
        <v>1254</v>
      </c>
      <c r="C104" s="256" t="s">
        <v>1077</v>
      </c>
      <c r="D104" s="234">
        <v>-2.0672898376252399E-3</v>
      </c>
      <c r="E104" s="234">
        <v>-2.0680702229045199E-3</v>
      </c>
      <c r="F104" s="234">
        <v>-2.0688506081838099E-3</v>
      </c>
      <c r="G104" s="234">
        <v>-2.0699439784516698E-3</v>
      </c>
      <c r="H104" s="234">
        <v>-2.0710373487195302E-3</v>
      </c>
      <c r="I104" s="234">
        <v>-2.0721307189873902E-3</v>
      </c>
      <c r="J104" s="234">
        <v>-2.0732240892552501E-3</v>
      </c>
      <c r="K104" s="234">
        <v>-2.0743174595231101E-3</v>
      </c>
      <c r="L104" s="234">
        <v>-2.0754108297909701E-3</v>
      </c>
      <c r="M104" s="234">
        <v>-2.07650420005883E-3</v>
      </c>
      <c r="N104" s="234">
        <v>-2.07759757032669E-3</v>
      </c>
      <c r="O104" s="234">
        <v>-2.0789296462730401E-3</v>
      </c>
      <c r="P104" s="234">
        <v>-2.0802617222193901E-3</v>
      </c>
      <c r="Q104" s="234">
        <v>-2.0815937981657402E-3</v>
      </c>
      <c r="R104" s="234">
        <v>-2.0829258741121002E-3</v>
      </c>
      <c r="S104" s="234">
        <v>-2.0842579500584498E-3</v>
      </c>
      <c r="T104" s="234">
        <v>-2.0855900260047999E-3</v>
      </c>
      <c r="U104" s="234">
        <v>-2.0869221019511499E-3</v>
      </c>
      <c r="V104" s="234">
        <v>-2.0882541778975E-3</v>
      </c>
      <c r="W104" s="234">
        <v>-2.0895862538438501E-3</v>
      </c>
      <c r="X104" s="234">
        <v>-2.0916052920307801E-3</v>
      </c>
      <c r="Y104" s="234">
        <v>-2.09362433021772E-3</v>
      </c>
      <c r="Z104" s="234">
        <v>-2.09564336840465E-3</v>
      </c>
      <c r="AA104" s="234">
        <v>-2.09766240659158E-3</v>
      </c>
      <c r="AB104" s="234">
        <v>-2.09968144477851E-3</v>
      </c>
      <c r="AC104" s="234">
        <v>-2.10170048296544E-3</v>
      </c>
      <c r="AD104" s="234">
        <v>-2.1037195211523699E-3</v>
      </c>
      <c r="AE104" s="234">
        <v>-2.1057385593392999E-3</v>
      </c>
      <c r="AF104" s="234">
        <v>-2.1057385593392999E-3</v>
      </c>
      <c r="AG104" s="234">
        <v>-2.1057385593392999E-3</v>
      </c>
      <c r="AH104" s="234">
        <v>-2.1057385593392999E-3</v>
      </c>
      <c r="AI104" s="234">
        <v>-2.1057385593392999E-3</v>
      </c>
      <c r="AJ104" s="234">
        <v>-2.1057385593392999E-3</v>
      </c>
      <c r="AK104" s="234">
        <v>-2.1057385593392999E-3</v>
      </c>
    </row>
    <row r="105" spans="2:37" ht="18" hidden="1" x14ac:dyDescent="0.35">
      <c r="B105" s="255" t="s">
        <v>1255</v>
      </c>
      <c r="C105" s="256" t="s">
        <v>1077</v>
      </c>
      <c r="D105" s="234">
        <v>-5.2772797646376303E-3</v>
      </c>
      <c r="E105" s="234">
        <v>-5.2792718952852299E-3</v>
      </c>
      <c r="F105" s="234">
        <v>-5.2812640259328296E-3</v>
      </c>
      <c r="G105" s="234">
        <v>-5.2840551298626304E-3</v>
      </c>
      <c r="H105" s="234">
        <v>-5.2868462337924303E-3</v>
      </c>
      <c r="I105" s="234">
        <v>-5.2896373377222302E-3</v>
      </c>
      <c r="J105" s="234">
        <v>-5.2924284416520301E-3</v>
      </c>
      <c r="K105" s="234">
        <v>-5.29521954558183E-3</v>
      </c>
      <c r="L105" s="234">
        <v>-5.2980106495116299E-3</v>
      </c>
      <c r="M105" s="234">
        <v>-5.3008017534414403E-3</v>
      </c>
      <c r="N105" s="234">
        <v>-5.3035928573712402E-3</v>
      </c>
      <c r="O105" s="234">
        <v>-5.3069933178720797E-3</v>
      </c>
      <c r="P105" s="234">
        <v>-5.3103937783729304E-3</v>
      </c>
      <c r="Q105" s="234">
        <v>-5.3137942388737699E-3</v>
      </c>
      <c r="R105" s="234">
        <v>-5.3171946993746102E-3</v>
      </c>
      <c r="S105" s="234">
        <v>-5.3205951598754601E-3</v>
      </c>
      <c r="T105" s="234">
        <v>-5.3239956203762996E-3</v>
      </c>
      <c r="U105" s="234">
        <v>-5.3273960808771503E-3</v>
      </c>
      <c r="V105" s="234">
        <v>-5.3307965413779898E-3</v>
      </c>
      <c r="W105" s="234">
        <v>-5.3341970018788397E-3</v>
      </c>
      <c r="X105" s="234">
        <v>-5.3393511071107196E-3</v>
      </c>
      <c r="Y105" s="234">
        <v>-5.3445052123426004E-3</v>
      </c>
      <c r="Z105" s="234">
        <v>-5.3496593175744803E-3</v>
      </c>
      <c r="AA105" s="234">
        <v>-5.3548134228063697E-3</v>
      </c>
      <c r="AB105" s="234">
        <v>-5.3599675280382496E-3</v>
      </c>
      <c r="AC105" s="234">
        <v>-5.3651216332701304E-3</v>
      </c>
      <c r="AD105" s="234">
        <v>-5.3702757385020198E-3</v>
      </c>
      <c r="AE105" s="234">
        <v>-5.3754298437338997E-3</v>
      </c>
      <c r="AF105" s="234">
        <v>-5.3754298437338997E-3</v>
      </c>
      <c r="AG105" s="234">
        <v>-5.3754298437338997E-3</v>
      </c>
      <c r="AH105" s="234">
        <v>-5.3754298437338997E-3</v>
      </c>
      <c r="AI105" s="234">
        <v>-5.3754298437338997E-3</v>
      </c>
      <c r="AJ105" s="234">
        <v>-5.3754298437338997E-3</v>
      </c>
      <c r="AK105" s="234">
        <v>-5.3754298437338997E-3</v>
      </c>
    </row>
    <row r="106" spans="2:37" ht="18" hidden="1" x14ac:dyDescent="0.35">
      <c r="B106" s="255" t="s">
        <v>1251</v>
      </c>
      <c r="C106" s="256" t="s">
        <v>1077</v>
      </c>
      <c r="D106" s="234">
        <v>-3.6919666666666699E-4</v>
      </c>
      <c r="E106" s="234">
        <v>-2.9523816666666698E-4</v>
      </c>
      <c r="F106" s="234">
        <v>-2.6033113333333302E-4</v>
      </c>
      <c r="G106" s="234">
        <v>-2.18854166666667E-4</v>
      </c>
      <c r="H106" s="234">
        <v>-1.1376933333333301E-3</v>
      </c>
      <c r="I106" s="234">
        <v>-1.37621366666667E-2</v>
      </c>
      <c r="J106" s="234">
        <v>-1.12590133333333E-2</v>
      </c>
      <c r="K106" s="234">
        <v>-1.12272233333333E-2</v>
      </c>
      <c r="L106" s="234">
        <v>-2.1146986666666701E-2</v>
      </c>
      <c r="M106" s="234">
        <v>-4.1073633333333297E-2</v>
      </c>
      <c r="N106" s="234">
        <v>-4.2917233333333298E-2</v>
      </c>
      <c r="O106" s="234">
        <v>-4.2465500000000003E-2</v>
      </c>
      <c r="P106" s="234">
        <v>-4.2465500000000003E-2</v>
      </c>
      <c r="Q106" s="234">
        <v>-4.4088733333333303E-2</v>
      </c>
      <c r="R106" s="234">
        <v>-4.5975599999999998E-2</v>
      </c>
      <c r="S106" s="234">
        <v>-4.5923166666666702E-2</v>
      </c>
      <c r="T106" s="234">
        <v>-4.83633333333333E-2</v>
      </c>
      <c r="U106" s="234">
        <v>-4.8704699999999997E-2</v>
      </c>
      <c r="V106" s="234">
        <v>-5.4309566666666698E-2</v>
      </c>
      <c r="W106" s="234">
        <v>-5.38615E-2</v>
      </c>
      <c r="X106" s="234">
        <v>-6.6597666666666694E-2</v>
      </c>
      <c r="Y106" s="234">
        <v>-7.0579666666666693E-2</v>
      </c>
      <c r="Z106" s="234">
        <v>-7.23785333333333E-2</v>
      </c>
      <c r="AA106" s="234">
        <v>-8.4363766666666701E-2</v>
      </c>
      <c r="AB106" s="234">
        <v>-8.6662033333333305E-2</v>
      </c>
      <c r="AC106" s="234">
        <v>-9.11265666666667E-2</v>
      </c>
      <c r="AD106" s="234">
        <v>-0.149612466666667</v>
      </c>
      <c r="AE106" s="234">
        <v>-0.15102009999999999</v>
      </c>
      <c r="AF106" s="234">
        <v>-0.13489409999999999</v>
      </c>
      <c r="AG106" s="234">
        <v>-5.3163000000000002E-2</v>
      </c>
      <c r="AH106" s="234">
        <v>-7.6819453333333301E-2</v>
      </c>
      <c r="AI106" s="234">
        <v>-8.9581256527755102E-2</v>
      </c>
      <c r="AJ106" s="234">
        <v>-8.9348302354370399E-2</v>
      </c>
      <c r="AK106" s="234">
        <v>-8.9118980922499605E-2</v>
      </c>
    </row>
    <row r="107" spans="2:37" hidden="1" x14ac:dyDescent="0.25">
      <c r="B107" s="259" t="s">
        <v>1276</v>
      </c>
      <c r="C107" s="256" t="s">
        <v>535</v>
      </c>
      <c r="D107" s="234">
        <v>-4.2844722575360851E-2</v>
      </c>
      <c r="E107" s="234">
        <v>-4.2860896113383527E-2</v>
      </c>
      <c r="F107" s="234">
        <v>-4.2877069651406322E-2</v>
      </c>
      <c r="G107" s="234">
        <v>-4.2964361057950984E-2</v>
      </c>
      <c r="H107" s="234">
        <v>-4.2984642664495656E-2</v>
      </c>
      <c r="I107" s="234">
        <v>-4.2995759437706893E-2</v>
      </c>
      <c r="J107" s="234">
        <v>-4.3009196477584999E-2</v>
      </c>
      <c r="K107" s="234">
        <v>-4.3031739317462896E-2</v>
      </c>
      <c r="L107" s="234">
        <v>-4.3084375957340909E-2</v>
      </c>
      <c r="M107" s="234">
        <v>-4.3101698563885689E-2</v>
      </c>
      <c r="N107" s="234">
        <v>-4.3127321403763588E-2</v>
      </c>
      <c r="O107" s="234">
        <v>-4.3147422735073576E-2</v>
      </c>
      <c r="P107" s="234">
        <v>-4.3175030099716898E-2</v>
      </c>
      <c r="Q107" s="234">
        <v>-4.3204987064360129E-2</v>
      </c>
      <c r="R107" s="234">
        <v>-4.3270128995670128E-2</v>
      </c>
      <c r="S107" s="234">
        <v>-4.3297621226980131E-2</v>
      </c>
      <c r="T107" s="234">
        <v>-4.3328048624956789E-2</v>
      </c>
      <c r="U107" s="234">
        <v>-4.3356391156266785E-2</v>
      </c>
      <c r="V107" s="234">
        <v>-4.3396056720910112E-2</v>
      </c>
      <c r="W107" s="234">
        <v>-4.3422700852220115E-2</v>
      </c>
      <c r="X107" s="234">
        <v>-4.3521068322717814E-2</v>
      </c>
      <c r="Y107" s="234">
        <v>-4.3573221859881994E-2</v>
      </c>
      <c r="Z107" s="234">
        <v>-4.3800166130379611E-2</v>
      </c>
      <c r="AA107" s="234">
        <v>-4.3624424234210549E-2</v>
      </c>
      <c r="AB107" s="234">
        <v>-4.3672241204708057E-2</v>
      </c>
      <c r="AC107" s="234">
        <v>-4.3983362241872347E-2</v>
      </c>
      <c r="AD107" s="234">
        <v>-4.3939793412369955E-2</v>
      </c>
      <c r="AE107" s="234">
        <v>-4.3984837649534335E-2</v>
      </c>
      <c r="AF107" s="234">
        <v>-4.3918417816201004E-2</v>
      </c>
      <c r="AG107" s="234">
        <v>-4.4266891949534336E-2</v>
      </c>
      <c r="AH107" s="234">
        <v>-4.4196997949534335E-2</v>
      </c>
      <c r="AI107" s="234">
        <v>-4.4114468244013494E-2</v>
      </c>
      <c r="AJ107" s="234">
        <v>-4.410995886465556E-2</v>
      </c>
      <c r="AK107" s="234">
        <v>-4.4105689054412388E-2</v>
      </c>
    </row>
    <row r="108" spans="2:37" ht="18" hidden="1" x14ac:dyDescent="0.35">
      <c r="B108" s="255" t="s">
        <v>1250</v>
      </c>
      <c r="C108" s="256" t="s">
        <v>1077</v>
      </c>
      <c r="D108" s="234">
        <v>-2.42098818776228E-2</v>
      </c>
      <c r="E108" s="234">
        <v>-2.4219020913227099E-2</v>
      </c>
      <c r="F108" s="234">
        <v>-2.4228159948831499E-2</v>
      </c>
      <c r="G108" s="234">
        <v>-2.4240964329016401E-2</v>
      </c>
      <c r="H108" s="234">
        <v>-2.42537687092013E-2</v>
      </c>
      <c r="I108" s="234">
        <v>-2.4266573089386199E-2</v>
      </c>
      <c r="J108" s="234">
        <v>-2.4279377469571199E-2</v>
      </c>
      <c r="K108" s="234">
        <v>-2.4292181849756098E-2</v>
      </c>
      <c r="L108" s="234">
        <v>-2.4304986229941001E-2</v>
      </c>
      <c r="M108" s="234">
        <v>-2.4317790610126001E-2</v>
      </c>
      <c r="N108" s="234">
        <v>-2.43305949903109E-2</v>
      </c>
      <c r="O108" s="234">
        <v>-2.43461948354445E-2</v>
      </c>
      <c r="P108" s="234">
        <v>-2.43617946805781E-2</v>
      </c>
      <c r="Q108" s="234">
        <v>-2.4377394525711599E-2</v>
      </c>
      <c r="R108" s="234">
        <v>-2.4392994370845199E-2</v>
      </c>
      <c r="S108" s="234">
        <v>-2.44085942159788E-2</v>
      </c>
      <c r="T108" s="234">
        <v>-2.44241940611124E-2</v>
      </c>
      <c r="U108" s="234">
        <v>-2.4439793906246E-2</v>
      </c>
      <c r="V108" s="234">
        <v>-2.44553937513796E-2</v>
      </c>
      <c r="W108" s="234">
        <v>-2.44709935965132E-2</v>
      </c>
      <c r="X108" s="234">
        <v>-2.4494638406796901E-2</v>
      </c>
      <c r="Y108" s="234">
        <v>-2.4518283217080501E-2</v>
      </c>
      <c r="Z108" s="234">
        <v>-2.4541928027364199E-2</v>
      </c>
      <c r="AA108" s="234">
        <v>-2.45655728376479E-2</v>
      </c>
      <c r="AB108" s="234">
        <v>-2.45892176479315E-2</v>
      </c>
      <c r="AC108" s="234">
        <v>-2.4612862458215201E-2</v>
      </c>
      <c r="AD108" s="234">
        <v>-2.4636507268498899E-2</v>
      </c>
      <c r="AE108" s="234">
        <v>-2.46601520787826E-2</v>
      </c>
      <c r="AF108" s="234">
        <v>-2.46601520787826E-2</v>
      </c>
      <c r="AG108" s="234">
        <v>-2.46601520787826E-2</v>
      </c>
      <c r="AH108" s="234">
        <v>-2.46601520787826E-2</v>
      </c>
      <c r="AI108" s="234">
        <v>-2.46601520787826E-2</v>
      </c>
      <c r="AJ108" s="234">
        <v>-2.46601520787826E-2</v>
      </c>
      <c r="AK108" s="234">
        <v>-2.46601520787826E-2</v>
      </c>
    </row>
    <row r="109" spans="2:37" ht="18" hidden="1" x14ac:dyDescent="0.35">
      <c r="B109" s="255" t="s">
        <v>1253</v>
      </c>
      <c r="C109" s="256" t="s">
        <v>1077</v>
      </c>
      <c r="D109" s="234">
        <v>-3.74227388045725E-3</v>
      </c>
      <c r="E109" s="234">
        <v>-3.7436865587349702E-3</v>
      </c>
      <c r="F109" s="234">
        <v>-3.7450992370126899E-3</v>
      </c>
      <c r="G109" s="234">
        <v>-3.74707849068124E-3</v>
      </c>
      <c r="H109" s="234">
        <v>-3.7490577443497898E-3</v>
      </c>
      <c r="I109" s="234">
        <v>-3.7510369980183499E-3</v>
      </c>
      <c r="J109" s="234">
        <v>-3.7530162516869001E-3</v>
      </c>
      <c r="K109" s="234">
        <v>-3.7549955053554499E-3</v>
      </c>
      <c r="L109" s="234">
        <v>-3.7569747590240001E-3</v>
      </c>
      <c r="M109" s="234">
        <v>-3.7589540126925598E-3</v>
      </c>
      <c r="N109" s="234">
        <v>-3.76093326636111E-3</v>
      </c>
      <c r="O109" s="234">
        <v>-3.7633446326485499E-3</v>
      </c>
      <c r="P109" s="234">
        <v>-3.7657559989359899E-3</v>
      </c>
      <c r="Q109" s="234">
        <v>-3.7681673652234298E-3</v>
      </c>
      <c r="R109" s="234">
        <v>-3.7705787315108698E-3</v>
      </c>
      <c r="S109" s="234">
        <v>-3.7729900977983102E-3</v>
      </c>
      <c r="T109" s="234">
        <v>-3.7754014640857501E-3</v>
      </c>
      <c r="U109" s="234">
        <v>-3.7778128303731901E-3</v>
      </c>
      <c r="V109" s="234">
        <v>-3.7802241966606301E-3</v>
      </c>
      <c r="W109" s="234">
        <v>-3.78263556294807E-3</v>
      </c>
      <c r="X109" s="234">
        <v>-3.78629049015425E-3</v>
      </c>
      <c r="Y109" s="234">
        <v>-3.7899454173604299E-3</v>
      </c>
      <c r="Z109" s="234">
        <v>-3.7936003445666099E-3</v>
      </c>
      <c r="AA109" s="234">
        <v>-3.7972552717727899E-3</v>
      </c>
      <c r="AB109" s="234">
        <v>-3.8009101989789698E-3</v>
      </c>
      <c r="AC109" s="234">
        <v>-3.8045651261851602E-3</v>
      </c>
      <c r="AD109" s="234">
        <v>-3.8082200533913401E-3</v>
      </c>
      <c r="AE109" s="234">
        <v>-3.8118749805975201E-3</v>
      </c>
      <c r="AF109" s="234">
        <v>-3.8118749805975201E-3</v>
      </c>
      <c r="AG109" s="234">
        <v>-3.8118749805975201E-3</v>
      </c>
      <c r="AH109" s="234">
        <v>-3.8118749805975201E-3</v>
      </c>
      <c r="AI109" s="234">
        <v>-3.8118749805975201E-3</v>
      </c>
      <c r="AJ109" s="234">
        <v>-3.8118749805975201E-3</v>
      </c>
      <c r="AK109" s="234">
        <v>-3.8118749805975201E-3</v>
      </c>
    </row>
    <row r="110" spans="2:37" ht="18" hidden="1" x14ac:dyDescent="0.35">
      <c r="B110" s="255" t="s">
        <v>1254</v>
      </c>
      <c r="C110" s="256" t="s">
        <v>1077</v>
      </c>
      <c r="D110" s="234">
        <v>-4.7253927291819996E-3</v>
      </c>
      <c r="E110" s="234">
        <v>-4.7271765269144596E-3</v>
      </c>
      <c r="F110" s="234">
        <v>-4.7289603246469299E-3</v>
      </c>
      <c r="G110" s="234">
        <v>-4.7314595406833101E-3</v>
      </c>
      <c r="H110" s="234">
        <v>-4.7339587567196998E-3</v>
      </c>
      <c r="I110" s="234">
        <v>-4.73645797275608E-3</v>
      </c>
      <c r="J110" s="234">
        <v>-4.7389571887924697E-3</v>
      </c>
      <c r="K110" s="234">
        <v>-4.7414564048288499E-3</v>
      </c>
      <c r="L110" s="234">
        <v>-4.7439556208652396E-3</v>
      </c>
      <c r="M110" s="234">
        <v>-4.7464548369016198E-3</v>
      </c>
      <c r="N110" s="234">
        <v>-4.7489540529380104E-3</v>
      </c>
      <c r="O110" s="234">
        <v>-4.7519989002917998E-3</v>
      </c>
      <c r="P110" s="234">
        <v>-4.7550437476455796E-3</v>
      </c>
      <c r="Q110" s="234">
        <v>-4.7580885949993698E-3</v>
      </c>
      <c r="R110" s="234">
        <v>-4.76113344235316E-3</v>
      </c>
      <c r="S110" s="234">
        <v>-4.7641782897069503E-3</v>
      </c>
      <c r="T110" s="234">
        <v>-4.7672231370607396E-3</v>
      </c>
      <c r="U110" s="234">
        <v>-4.7702679844145298E-3</v>
      </c>
      <c r="V110" s="234">
        <v>-4.7733128317683201E-3</v>
      </c>
      <c r="W110" s="234">
        <v>-4.7763576791221103E-3</v>
      </c>
      <c r="X110" s="234">
        <v>-4.7809727786571696E-3</v>
      </c>
      <c r="Y110" s="234">
        <v>-4.7855878781922299E-3</v>
      </c>
      <c r="Z110" s="234">
        <v>-4.7902029777272996E-3</v>
      </c>
      <c r="AA110" s="234">
        <v>-4.7948180772623599E-3</v>
      </c>
      <c r="AB110" s="234">
        <v>-4.7994331767974201E-3</v>
      </c>
      <c r="AC110" s="234">
        <v>-4.8040482763324899E-3</v>
      </c>
      <c r="AD110" s="234">
        <v>-4.8086633758675501E-3</v>
      </c>
      <c r="AE110" s="234">
        <v>-4.8132784754026103E-3</v>
      </c>
      <c r="AF110" s="234">
        <v>-4.8132784754026103E-3</v>
      </c>
      <c r="AG110" s="234">
        <v>-4.8132784754026103E-3</v>
      </c>
      <c r="AH110" s="234">
        <v>-4.8132784754026103E-3</v>
      </c>
      <c r="AI110" s="234">
        <v>-4.8132784754026103E-3</v>
      </c>
      <c r="AJ110" s="234">
        <v>-4.8132784754026103E-3</v>
      </c>
      <c r="AK110" s="234">
        <v>-4.8132784754026103E-3</v>
      </c>
    </row>
    <row r="111" spans="2:37" ht="18" hidden="1" x14ac:dyDescent="0.35">
      <c r="B111" s="255" t="s">
        <v>1255</v>
      </c>
      <c r="C111" s="256" t="s">
        <v>1077</v>
      </c>
      <c r="D111" s="234">
        <v>-1.01671740880988E-2</v>
      </c>
      <c r="E111" s="234">
        <v>-1.0171012114506999E-2</v>
      </c>
      <c r="F111" s="234">
        <v>-1.0174850140915201E-2</v>
      </c>
      <c r="G111" s="234">
        <v>-1.0180227464236699E-2</v>
      </c>
      <c r="H111" s="234">
        <v>-1.01856047875582E-2</v>
      </c>
      <c r="I111" s="234">
        <v>-1.01909821108796E-2</v>
      </c>
      <c r="J111" s="234">
        <v>-1.0196359434201101E-2</v>
      </c>
      <c r="K111" s="234">
        <v>-1.0201736757522501E-2</v>
      </c>
      <c r="L111" s="234">
        <v>-1.0207114080844E-2</v>
      </c>
      <c r="M111" s="234">
        <v>-1.02124914041655E-2</v>
      </c>
      <c r="N111" s="234">
        <v>-1.02178687274869E-2</v>
      </c>
      <c r="O111" s="234">
        <v>-1.02244200333554E-2</v>
      </c>
      <c r="P111" s="234">
        <v>-1.0230971339223899E-2</v>
      </c>
      <c r="Q111" s="234">
        <v>-1.02375226450924E-2</v>
      </c>
      <c r="R111" s="234">
        <v>-1.02440739509609E-2</v>
      </c>
      <c r="S111" s="234">
        <v>-1.0250625256829401E-2</v>
      </c>
      <c r="T111" s="234">
        <v>-1.02571765626979E-2</v>
      </c>
      <c r="U111" s="234">
        <v>-1.02637278685664E-2</v>
      </c>
      <c r="V111" s="234">
        <v>-1.0270279174434901E-2</v>
      </c>
      <c r="W111" s="234">
        <v>-1.02768304803034E-2</v>
      </c>
      <c r="X111" s="234">
        <v>-1.02867603471095E-2</v>
      </c>
      <c r="Y111" s="234">
        <v>-1.0296690213915501E-2</v>
      </c>
      <c r="Z111" s="234">
        <v>-1.03066200807215E-2</v>
      </c>
      <c r="AA111" s="234">
        <v>-1.03165499475275E-2</v>
      </c>
      <c r="AB111" s="234">
        <v>-1.0326479814333499E-2</v>
      </c>
      <c r="AC111" s="234">
        <v>-1.03364096811395E-2</v>
      </c>
      <c r="AD111" s="234">
        <v>-1.0346339547945499E-2</v>
      </c>
      <c r="AE111" s="234">
        <v>-1.0356269414751601E-2</v>
      </c>
      <c r="AF111" s="234">
        <v>-1.0356269414751601E-2</v>
      </c>
      <c r="AG111" s="234">
        <v>-1.0356269414751601E-2</v>
      </c>
      <c r="AH111" s="234">
        <v>-1.0356269414751601E-2</v>
      </c>
      <c r="AI111" s="234">
        <v>-1.0356269414751601E-2</v>
      </c>
      <c r="AJ111" s="234">
        <v>-1.0356269414751601E-2</v>
      </c>
      <c r="AK111" s="234">
        <v>-1.0356269414751601E-2</v>
      </c>
    </row>
    <row r="112" spans="2:37" ht="18" hidden="1" x14ac:dyDescent="0.35">
      <c r="B112" s="255" t="s">
        <v>1251</v>
      </c>
      <c r="C112" s="256" t="s">
        <v>1077</v>
      </c>
      <c r="D112" s="234">
        <v>0</v>
      </c>
      <c r="E112" s="234">
        <v>0</v>
      </c>
      <c r="F112" s="234">
        <v>0</v>
      </c>
      <c r="G112" s="234">
        <v>-6.4631233333333298E-5</v>
      </c>
      <c r="H112" s="234">
        <v>-6.2252666666666695E-5</v>
      </c>
      <c r="I112" s="234">
        <v>-5.07092666666667E-5</v>
      </c>
      <c r="J112" s="234">
        <v>-4.1486133333333302E-5</v>
      </c>
      <c r="K112" s="234">
        <v>-4.1368800000000003E-5</v>
      </c>
      <c r="L112" s="234">
        <v>-7.1345266666666697E-5</v>
      </c>
      <c r="M112" s="234">
        <v>-6.6007700000000002E-5</v>
      </c>
      <c r="N112" s="234">
        <v>-6.89703666666667E-5</v>
      </c>
      <c r="O112" s="234">
        <v>-6.14643333333333E-5</v>
      </c>
      <c r="P112" s="234">
        <v>-6.14643333333333E-5</v>
      </c>
      <c r="Q112" s="234">
        <v>-6.3813933333333302E-5</v>
      </c>
      <c r="R112" s="234">
        <v>-1.013485E-4</v>
      </c>
      <c r="S112" s="234">
        <v>-1.01233366666667E-4</v>
      </c>
      <c r="T112" s="234">
        <v>-1.040534E-4</v>
      </c>
      <c r="U112" s="234">
        <v>-1.04788566666667E-4</v>
      </c>
      <c r="V112" s="234">
        <v>-1.16846766666667E-4</v>
      </c>
      <c r="W112" s="234">
        <v>-1.15883533333333E-4</v>
      </c>
      <c r="X112" s="234">
        <v>-1.724063E-4</v>
      </c>
      <c r="Y112" s="234">
        <v>-1.82715133333333E-4</v>
      </c>
      <c r="Z112" s="234">
        <v>-3.6781470000000002E-4</v>
      </c>
      <c r="AA112" s="234">
        <v>-1.5022810000000001E-4</v>
      </c>
      <c r="AB112" s="234">
        <v>-1.56200366666667E-4</v>
      </c>
      <c r="AC112" s="234">
        <v>-4.2547670000000001E-4</v>
      </c>
      <c r="AD112" s="234">
        <v>-3.40063166666667E-4</v>
      </c>
      <c r="AE112" s="234">
        <v>-3.4326270000000002E-4</v>
      </c>
      <c r="AF112" s="234">
        <v>-2.76842866666667E-4</v>
      </c>
      <c r="AG112" s="234">
        <v>-6.2531700000000002E-4</v>
      </c>
      <c r="AH112" s="234">
        <v>-5.5542299999999998E-4</v>
      </c>
      <c r="AI112" s="234">
        <v>-4.7289329447915699E-4</v>
      </c>
      <c r="AJ112" s="234">
        <v>-4.6838391512122202E-4</v>
      </c>
      <c r="AK112" s="234">
        <v>-4.6411410487804999E-4</v>
      </c>
    </row>
    <row r="113" spans="2:37" hidden="1" x14ac:dyDescent="0.25">
      <c r="B113" s="259" t="s">
        <v>1277</v>
      </c>
      <c r="C113" s="256" t="s">
        <v>535</v>
      </c>
      <c r="D113" s="234">
        <v>-3.7427392940138321E-3</v>
      </c>
      <c r="E113" s="234">
        <v>-3.7441521479814207E-3</v>
      </c>
      <c r="F113" s="234">
        <v>-3.745565001949021E-3</v>
      </c>
      <c r="G113" s="234">
        <v>-3.7475445017704483E-3</v>
      </c>
      <c r="H113" s="234">
        <v>-3.7495240015918839E-3</v>
      </c>
      <c r="I113" s="234">
        <v>-3.7515035014133091E-3</v>
      </c>
      <c r="J113" s="234">
        <v>-3.753483001234746E-3</v>
      </c>
      <c r="K113" s="234">
        <v>-3.755462501056172E-3</v>
      </c>
      <c r="L113" s="234">
        <v>-3.7574420008776093E-3</v>
      </c>
      <c r="M113" s="234">
        <v>-3.7594215006990449E-3</v>
      </c>
      <c r="N113" s="234">
        <v>-3.7614010005204705E-3</v>
      </c>
      <c r="O113" s="234">
        <v>-3.763812666701128E-3</v>
      </c>
      <c r="P113" s="234">
        <v>-3.7662243328817871E-3</v>
      </c>
      <c r="Q113" s="234">
        <v>-3.7686359990624441E-3</v>
      </c>
      <c r="R113" s="234">
        <v>-3.7710476652431033E-3</v>
      </c>
      <c r="S113" s="234">
        <v>-3.7734593314237611E-3</v>
      </c>
      <c r="T113" s="234">
        <v>-3.775870997604419E-3</v>
      </c>
      <c r="U113" s="234">
        <v>-3.7782826637850872E-3</v>
      </c>
      <c r="V113" s="234">
        <v>-3.7806943299657451E-3</v>
      </c>
      <c r="W113" s="234">
        <v>-3.7831059961464038E-3</v>
      </c>
      <c r="X113" s="234">
        <v>-3.7867613779031385E-3</v>
      </c>
      <c r="Y113" s="234">
        <v>-3.7904167596598732E-3</v>
      </c>
      <c r="Z113" s="234">
        <v>-3.7940721414166088E-3</v>
      </c>
      <c r="AA113" s="234">
        <v>-3.7977275231733431E-3</v>
      </c>
      <c r="AB113" s="234">
        <v>-3.8013829049300786E-3</v>
      </c>
      <c r="AC113" s="234">
        <v>-3.8050382866868229E-3</v>
      </c>
      <c r="AD113" s="234">
        <v>-3.8086936684435598E-3</v>
      </c>
      <c r="AE113" s="234">
        <v>-3.812349050200294E-3</v>
      </c>
      <c r="AF113" s="234">
        <v>-3.812349050200294E-3</v>
      </c>
      <c r="AG113" s="234">
        <v>-3.812349050200294E-3</v>
      </c>
      <c r="AH113" s="234">
        <v>-3.812349050200294E-3</v>
      </c>
      <c r="AI113" s="234">
        <v>-3.812349050200294E-3</v>
      </c>
      <c r="AJ113" s="234">
        <v>-3.812349050200294E-3</v>
      </c>
      <c r="AK113" s="234">
        <v>-3.812349050200294E-3</v>
      </c>
    </row>
    <row r="114" spans="2:37" ht="18" hidden="1" x14ac:dyDescent="0.35">
      <c r="B114" s="255" t="s">
        <v>1250</v>
      </c>
      <c r="C114" s="256" t="s">
        <v>1077</v>
      </c>
      <c r="D114" s="234">
        <v>-2.63018795497315E-3</v>
      </c>
      <c r="E114" s="234">
        <v>-2.6311808297623798E-3</v>
      </c>
      <c r="F114" s="234">
        <v>-2.63217370455162E-3</v>
      </c>
      <c r="G114" s="234">
        <v>-2.6335647863711602E-3</v>
      </c>
      <c r="H114" s="234">
        <v>-2.6349558681907099E-3</v>
      </c>
      <c r="I114" s="234">
        <v>-2.6363469500102501E-3</v>
      </c>
      <c r="J114" s="234">
        <v>-2.6377380318297998E-3</v>
      </c>
      <c r="K114" s="234">
        <v>-2.63912911364934E-3</v>
      </c>
      <c r="L114" s="234">
        <v>-2.6405201954688901E-3</v>
      </c>
      <c r="M114" s="234">
        <v>-2.6419112772884399E-3</v>
      </c>
      <c r="N114" s="234">
        <v>-2.64330235910798E-3</v>
      </c>
      <c r="O114" s="234">
        <v>-2.6449971432864899E-3</v>
      </c>
      <c r="P114" s="234">
        <v>-2.6466919274649998E-3</v>
      </c>
      <c r="Q114" s="234">
        <v>-2.6483867116435101E-3</v>
      </c>
      <c r="R114" s="234">
        <v>-2.65008149582202E-3</v>
      </c>
      <c r="S114" s="234">
        <v>-2.6517762800005299E-3</v>
      </c>
      <c r="T114" s="234">
        <v>-2.6534710641790398E-3</v>
      </c>
      <c r="U114" s="234">
        <v>-2.6551658483575601E-3</v>
      </c>
      <c r="V114" s="234">
        <v>-2.65686063253607E-3</v>
      </c>
      <c r="W114" s="234">
        <v>-2.6585554167145799E-3</v>
      </c>
      <c r="X114" s="234">
        <v>-2.66112421467568E-3</v>
      </c>
      <c r="Y114" s="234">
        <v>-2.66369301263678E-3</v>
      </c>
      <c r="Z114" s="234">
        <v>-2.6662618105978801E-3</v>
      </c>
      <c r="AA114" s="234">
        <v>-2.6688306085589802E-3</v>
      </c>
      <c r="AB114" s="234">
        <v>-2.6713994065200798E-3</v>
      </c>
      <c r="AC114" s="234">
        <v>-2.6739682044811899E-3</v>
      </c>
      <c r="AD114" s="234">
        <v>-2.67653700244229E-3</v>
      </c>
      <c r="AE114" s="234">
        <v>-2.67910580040339E-3</v>
      </c>
      <c r="AF114" s="234">
        <v>-2.67910580040339E-3</v>
      </c>
      <c r="AG114" s="234">
        <v>-2.67910580040339E-3</v>
      </c>
      <c r="AH114" s="234">
        <v>-2.67910580040339E-3</v>
      </c>
      <c r="AI114" s="234">
        <v>-2.67910580040339E-3</v>
      </c>
      <c r="AJ114" s="234">
        <v>-2.67910580040339E-3</v>
      </c>
      <c r="AK114" s="234">
        <v>-2.67910580040339E-3</v>
      </c>
    </row>
    <row r="115" spans="2:37" ht="18" hidden="1" x14ac:dyDescent="0.35">
      <c r="B115" s="255" t="s">
        <v>1253</v>
      </c>
      <c r="C115" s="256" t="s">
        <v>1077</v>
      </c>
      <c r="D115" s="234">
        <v>-2.9224344923346101E-4</v>
      </c>
      <c r="E115" s="234">
        <v>-2.9235376878401401E-4</v>
      </c>
      <c r="F115" s="234">
        <v>-2.9246408833456702E-4</v>
      </c>
      <c r="G115" s="234">
        <v>-2.9261865316265902E-4</v>
      </c>
      <c r="H115" s="234">
        <v>-2.9277321799075102E-4</v>
      </c>
      <c r="I115" s="234">
        <v>-2.9292778281884301E-4</v>
      </c>
      <c r="J115" s="234">
        <v>-2.9308234764693501E-4</v>
      </c>
      <c r="K115" s="234">
        <v>-2.9323691247502701E-4</v>
      </c>
      <c r="L115" s="234">
        <v>-2.9339147730311901E-4</v>
      </c>
      <c r="M115" s="234">
        <v>-2.9354604213121101E-4</v>
      </c>
      <c r="N115" s="234">
        <v>-2.9370060695930301E-4</v>
      </c>
      <c r="O115" s="234">
        <v>-2.9388891653356602E-4</v>
      </c>
      <c r="P115" s="234">
        <v>-2.9407722610783001E-4</v>
      </c>
      <c r="Q115" s="234">
        <v>-2.9426553568209302E-4</v>
      </c>
      <c r="R115" s="234">
        <v>-2.9445384525635701E-4</v>
      </c>
      <c r="S115" s="234">
        <v>-2.94642154830621E-4</v>
      </c>
      <c r="T115" s="234">
        <v>-2.9483046440488401E-4</v>
      </c>
      <c r="U115" s="234">
        <v>-2.95018773979148E-4</v>
      </c>
      <c r="V115" s="234">
        <v>-2.9520708355341101E-4</v>
      </c>
      <c r="W115" s="234">
        <v>-2.95395393127675E-4</v>
      </c>
      <c r="X115" s="234">
        <v>-2.9568081545847E-4</v>
      </c>
      <c r="Y115" s="234">
        <v>-2.9596623778926402E-4</v>
      </c>
      <c r="Z115" s="234">
        <v>-2.9625166012005902E-4</v>
      </c>
      <c r="AA115" s="234">
        <v>-2.9653708245085299E-4</v>
      </c>
      <c r="AB115" s="234">
        <v>-2.9682250478164798E-4</v>
      </c>
      <c r="AC115" s="234">
        <v>-2.9710792711244201E-4</v>
      </c>
      <c r="AD115" s="234">
        <v>-2.97393349443237E-4</v>
      </c>
      <c r="AE115" s="234">
        <v>-2.9767877177403097E-4</v>
      </c>
      <c r="AF115" s="234">
        <v>-2.9767877177403097E-4</v>
      </c>
      <c r="AG115" s="234">
        <v>-2.9767877177403097E-4</v>
      </c>
      <c r="AH115" s="234">
        <v>-2.9767877177403097E-4</v>
      </c>
      <c r="AI115" s="234">
        <v>-2.9767877177403097E-4</v>
      </c>
      <c r="AJ115" s="234">
        <v>-2.9767877177403097E-4</v>
      </c>
      <c r="AK115" s="234">
        <v>-2.9767877177403097E-4</v>
      </c>
    </row>
    <row r="116" spans="2:37" ht="18" hidden="1" x14ac:dyDescent="0.35">
      <c r="B116" s="255" t="s">
        <v>1254</v>
      </c>
      <c r="C116" s="256" t="s">
        <v>1077</v>
      </c>
      <c r="D116" s="234">
        <v>-1.4374845501479699E-4</v>
      </c>
      <c r="E116" s="234">
        <v>-1.4380271889989499E-4</v>
      </c>
      <c r="F116" s="234">
        <v>-1.4385698278499299E-4</v>
      </c>
      <c r="G116" s="234">
        <v>-1.4393300999893501E-4</v>
      </c>
      <c r="H116" s="234">
        <v>-1.4400903721287599E-4</v>
      </c>
      <c r="I116" s="234">
        <v>-1.44085064426817E-4</v>
      </c>
      <c r="J116" s="234">
        <v>-1.4416109164075899E-4</v>
      </c>
      <c r="K116" s="234">
        <v>-1.442371188547E-4</v>
      </c>
      <c r="L116" s="234">
        <v>-1.4431314606864199E-4</v>
      </c>
      <c r="M116" s="234">
        <v>-1.44389173282583E-4</v>
      </c>
      <c r="N116" s="234">
        <v>-1.4446520049652401E-4</v>
      </c>
      <c r="O116" s="234">
        <v>-1.4455782604702301E-4</v>
      </c>
      <c r="P116" s="234">
        <v>-1.4465045159752201E-4</v>
      </c>
      <c r="Q116" s="234">
        <v>-1.4474307714802001E-4</v>
      </c>
      <c r="R116" s="234">
        <v>-1.4483570269851901E-4</v>
      </c>
      <c r="S116" s="234">
        <v>-1.4492832824901801E-4</v>
      </c>
      <c r="T116" s="234">
        <v>-1.4502095379951701E-4</v>
      </c>
      <c r="U116" s="234">
        <v>-1.45113579350015E-4</v>
      </c>
      <c r="V116" s="234">
        <v>-1.45206204900514E-4</v>
      </c>
      <c r="W116" s="234">
        <v>-1.45298830451013E-4</v>
      </c>
      <c r="X116" s="234">
        <v>-1.4543922374019E-4</v>
      </c>
      <c r="Y116" s="234">
        <v>-1.4557961702936701E-4</v>
      </c>
      <c r="Z116" s="234">
        <v>-1.4572001031854499E-4</v>
      </c>
      <c r="AA116" s="234">
        <v>-1.4586040360772199E-4</v>
      </c>
      <c r="AB116" s="234">
        <v>-1.460007968969E-4</v>
      </c>
      <c r="AC116" s="234">
        <v>-1.4614119018607701E-4</v>
      </c>
      <c r="AD116" s="234">
        <v>-1.4628158347525499E-4</v>
      </c>
      <c r="AE116" s="234">
        <v>-1.4642197676443199E-4</v>
      </c>
      <c r="AF116" s="234">
        <v>-1.4642197676443199E-4</v>
      </c>
      <c r="AG116" s="234">
        <v>-1.4642197676443199E-4</v>
      </c>
      <c r="AH116" s="234">
        <v>-1.4642197676443199E-4</v>
      </c>
      <c r="AI116" s="234">
        <v>-1.4642197676443199E-4</v>
      </c>
      <c r="AJ116" s="234">
        <v>-1.4642197676443199E-4</v>
      </c>
      <c r="AK116" s="234">
        <v>-1.4642197676443199E-4</v>
      </c>
    </row>
    <row r="117" spans="2:37" ht="18" hidden="1" x14ac:dyDescent="0.35">
      <c r="B117" s="255" t="s">
        <v>1255</v>
      </c>
      <c r="C117" s="256" t="s">
        <v>1077</v>
      </c>
      <c r="D117" s="234">
        <v>-6.7655943479242404E-4</v>
      </c>
      <c r="E117" s="234">
        <v>-6.7681483053513196E-4</v>
      </c>
      <c r="F117" s="234">
        <v>-6.7707022627784097E-4</v>
      </c>
      <c r="G117" s="234">
        <v>-6.7742805223769398E-4</v>
      </c>
      <c r="H117" s="234">
        <v>-6.7778587819754699E-4</v>
      </c>
      <c r="I117" s="234">
        <v>-6.7814370415739903E-4</v>
      </c>
      <c r="J117" s="234">
        <v>-6.7850153011725204E-4</v>
      </c>
      <c r="K117" s="234">
        <v>-6.7885935607710495E-4</v>
      </c>
      <c r="L117" s="234">
        <v>-6.7921718203695796E-4</v>
      </c>
      <c r="M117" s="234">
        <v>-6.7957500799681097E-4</v>
      </c>
      <c r="N117" s="234">
        <v>-6.7993283395666301E-4</v>
      </c>
      <c r="O117" s="234">
        <v>-6.8036878083404899E-4</v>
      </c>
      <c r="P117" s="234">
        <v>-6.8080472771143497E-4</v>
      </c>
      <c r="Q117" s="234">
        <v>-6.8124067458882095E-4</v>
      </c>
      <c r="R117" s="234">
        <v>-6.8167662146620704E-4</v>
      </c>
      <c r="S117" s="234">
        <v>-6.8211256834359204E-4</v>
      </c>
      <c r="T117" s="234">
        <v>-6.8254851522097802E-4</v>
      </c>
      <c r="U117" s="234">
        <v>-6.82984462098364E-4</v>
      </c>
      <c r="V117" s="234">
        <v>-6.8342040897574998E-4</v>
      </c>
      <c r="W117" s="234">
        <v>-6.8385635585313596E-4</v>
      </c>
      <c r="X117" s="234">
        <v>-6.84517124028799E-4</v>
      </c>
      <c r="Y117" s="234">
        <v>-6.8517789220446203E-4</v>
      </c>
      <c r="Z117" s="234">
        <v>-6.8583866038012496E-4</v>
      </c>
      <c r="AA117" s="234">
        <v>-6.86499428555788E-4</v>
      </c>
      <c r="AB117" s="234">
        <v>-6.8716019673145104E-4</v>
      </c>
      <c r="AC117" s="234">
        <v>-6.8782096490711396E-4</v>
      </c>
      <c r="AD117" s="234">
        <v>-6.8848173308277798E-4</v>
      </c>
      <c r="AE117" s="234">
        <v>-6.8914250125844101E-4</v>
      </c>
      <c r="AF117" s="234">
        <v>-6.8914250125844101E-4</v>
      </c>
      <c r="AG117" s="234">
        <v>-6.8914250125844101E-4</v>
      </c>
      <c r="AH117" s="234">
        <v>-6.8914250125844101E-4</v>
      </c>
      <c r="AI117" s="234">
        <v>-6.8914250125844101E-4</v>
      </c>
      <c r="AJ117" s="234">
        <v>-6.8914250125844101E-4</v>
      </c>
      <c r="AK117" s="234">
        <v>-6.8914250125844101E-4</v>
      </c>
    </row>
    <row r="118" spans="2:37" ht="18" hidden="1" x14ac:dyDescent="0.35">
      <c r="B118" s="255" t="s">
        <v>1251</v>
      </c>
      <c r="C118" s="256" t="s">
        <v>1077</v>
      </c>
      <c r="D118" s="234">
        <v>0</v>
      </c>
      <c r="E118" s="234">
        <v>0</v>
      </c>
      <c r="F118" s="234">
        <v>0</v>
      </c>
      <c r="G118" s="234">
        <v>0</v>
      </c>
      <c r="H118" s="234">
        <v>0</v>
      </c>
      <c r="I118" s="234">
        <v>0</v>
      </c>
      <c r="J118" s="234">
        <v>0</v>
      </c>
      <c r="K118" s="234">
        <v>0</v>
      </c>
      <c r="L118" s="234">
        <v>0</v>
      </c>
      <c r="M118" s="234">
        <v>0</v>
      </c>
      <c r="N118" s="234">
        <v>0</v>
      </c>
      <c r="O118" s="234">
        <v>0</v>
      </c>
      <c r="P118" s="234">
        <v>0</v>
      </c>
      <c r="Q118" s="234">
        <v>0</v>
      </c>
      <c r="R118" s="234">
        <v>0</v>
      </c>
      <c r="S118" s="234">
        <v>0</v>
      </c>
      <c r="T118" s="234">
        <v>0</v>
      </c>
      <c r="U118" s="234">
        <v>0</v>
      </c>
      <c r="V118" s="234">
        <v>0</v>
      </c>
      <c r="W118" s="234">
        <v>0</v>
      </c>
      <c r="X118" s="234">
        <v>0</v>
      </c>
      <c r="Y118" s="234">
        <v>0</v>
      </c>
      <c r="Z118" s="234">
        <v>0</v>
      </c>
      <c r="AA118" s="234">
        <v>0</v>
      </c>
      <c r="AB118" s="234">
        <v>0</v>
      </c>
      <c r="AC118" s="234">
        <v>0</v>
      </c>
      <c r="AD118" s="234">
        <v>0</v>
      </c>
      <c r="AE118" s="234">
        <v>0</v>
      </c>
      <c r="AF118" s="234">
        <v>0</v>
      </c>
      <c r="AG118" s="234">
        <v>0</v>
      </c>
      <c r="AH118" s="234">
        <v>0</v>
      </c>
      <c r="AI118" s="234">
        <v>0</v>
      </c>
      <c r="AJ118" s="234">
        <v>0</v>
      </c>
      <c r="AK118" s="234">
        <v>0</v>
      </c>
    </row>
    <row r="119" spans="2:37" ht="15.75" x14ac:dyDescent="0.25">
      <c r="B119" s="260" t="s">
        <v>1278</v>
      </c>
      <c r="C119" s="261" t="s">
        <v>535</v>
      </c>
      <c r="D119" s="262">
        <v>3.9007410151781219E-3</v>
      </c>
      <c r="E119" s="262">
        <v>-5.7143138704985885E-3</v>
      </c>
      <c r="F119" s="262">
        <v>8.9211691651132075E-2</v>
      </c>
      <c r="G119" s="262">
        <v>0.20296958280802269</v>
      </c>
      <c r="H119" s="262">
        <v>0.30221252357378187</v>
      </c>
      <c r="I119" s="262">
        <v>0.24825765113462644</v>
      </c>
      <c r="J119" s="262">
        <v>0.27502687622730299</v>
      </c>
      <c r="K119" s="262">
        <v>0.38198229629645192</v>
      </c>
      <c r="L119" s="262">
        <v>0.27354323803999347</v>
      </c>
      <c r="M119" s="262">
        <v>0.26746519700432303</v>
      </c>
      <c r="N119" s="262">
        <v>0.44048363366097876</v>
      </c>
      <c r="O119" s="262">
        <v>0.33680610101885278</v>
      </c>
      <c r="P119" s="262">
        <v>0.35402645529785104</v>
      </c>
      <c r="Q119" s="262">
        <v>0.31686258558386005</v>
      </c>
      <c r="R119" s="262">
        <v>0.28131777538011415</v>
      </c>
      <c r="S119" s="262">
        <v>0.33160598492071736</v>
      </c>
      <c r="T119" s="262">
        <v>0.26423098556640767</v>
      </c>
      <c r="U119" s="262">
        <v>0.24788108954142685</v>
      </c>
      <c r="V119" s="262">
        <v>0.24949350128521763</v>
      </c>
      <c r="W119" s="262">
        <v>0.21656391007578057</v>
      </c>
      <c r="X119" s="262">
        <v>0.21392971360552915</v>
      </c>
      <c r="Y119" s="262">
        <v>0.22935388997653994</v>
      </c>
      <c r="Z119" s="262">
        <v>0.2176139568169575</v>
      </c>
      <c r="AA119" s="262">
        <v>0.1979471367521185</v>
      </c>
      <c r="AB119" s="262">
        <v>0.22557352011765253</v>
      </c>
      <c r="AC119" s="262">
        <v>0.17102147867659678</v>
      </c>
      <c r="AD119" s="262">
        <v>0.16006802143894761</v>
      </c>
      <c r="AE119" s="262">
        <v>0.10180802114537491</v>
      </c>
      <c r="AF119" s="262">
        <v>8.6214047148282291E-2</v>
      </c>
      <c r="AG119" s="262">
        <v>6.3519247192439954E-2</v>
      </c>
      <c r="AH119" s="262">
        <v>2.6504527568090186E-2</v>
      </c>
      <c r="AI119" s="262">
        <v>2.2602240793272443E-2</v>
      </c>
      <c r="AJ119" s="262">
        <v>2.5477981098343538E-2</v>
      </c>
      <c r="AK119" s="262">
        <v>3.0654809400211813E-2</v>
      </c>
    </row>
    <row r="120" spans="2:37" x14ac:dyDescent="0.25">
      <c r="B120" s="254" t="s">
        <v>1279</v>
      </c>
      <c r="C120" s="254" t="s">
        <v>535</v>
      </c>
      <c r="D120" s="233">
        <v>-0.52436307630436496</v>
      </c>
      <c r="E120" s="233">
        <v>-0.52554236732995074</v>
      </c>
      <c r="F120" s="233">
        <v>-0.50622544535995795</v>
      </c>
      <c r="G120" s="233">
        <v>-0.49931248126711747</v>
      </c>
      <c r="H120" s="233">
        <v>-0.48514614552059093</v>
      </c>
      <c r="I120" s="233">
        <v>-0.48198940431399567</v>
      </c>
      <c r="J120" s="233">
        <v>-0.48592647864550004</v>
      </c>
      <c r="K120" s="233">
        <v>-0.49204273122671</v>
      </c>
      <c r="L120" s="233">
        <v>-0.50058715556464695</v>
      </c>
      <c r="M120" s="233">
        <v>-0.51481393222410832</v>
      </c>
      <c r="N120" s="233">
        <v>-0.5266634262155161</v>
      </c>
      <c r="O120" s="233">
        <v>-0.53246209271830003</v>
      </c>
      <c r="P120" s="233">
        <v>-0.52531169051616822</v>
      </c>
      <c r="Q120" s="233">
        <v>-0.52620064567413805</v>
      </c>
      <c r="R120" s="233">
        <v>-0.52630894060072664</v>
      </c>
      <c r="S120" s="233">
        <v>-0.53490394058781077</v>
      </c>
      <c r="T120" s="233">
        <v>-0.5324418989263352</v>
      </c>
      <c r="U120" s="233">
        <v>-0.53513064300298774</v>
      </c>
      <c r="V120" s="233">
        <v>-0.55249371316653872</v>
      </c>
      <c r="W120" s="233">
        <v>-0.5603153924937081</v>
      </c>
      <c r="X120" s="233">
        <v>-0.56332958588381754</v>
      </c>
      <c r="Y120" s="233">
        <v>-0.56146349209015911</v>
      </c>
      <c r="Z120" s="233">
        <v>-0.55799959777077213</v>
      </c>
      <c r="AA120" s="233">
        <v>-0.56121674543460676</v>
      </c>
      <c r="AB120" s="233">
        <v>-0.56547500455519129</v>
      </c>
      <c r="AC120" s="233">
        <v>-0.55783105732492844</v>
      </c>
      <c r="AD120" s="233">
        <v>-0.55003619877582</v>
      </c>
      <c r="AE120" s="233">
        <v>-0.58388148451969468</v>
      </c>
      <c r="AF120" s="233">
        <v>-0.58858996858538781</v>
      </c>
      <c r="AG120" s="233">
        <v>-0.58469643240615921</v>
      </c>
      <c r="AH120" s="233">
        <v>-0.58644018587207858</v>
      </c>
      <c r="AI120" s="233">
        <v>-0.58759140288034528</v>
      </c>
      <c r="AJ120" s="233">
        <v>-0.58542556816031643</v>
      </c>
      <c r="AK120" s="233">
        <v>-0.58089846308299342</v>
      </c>
    </row>
    <row r="121" spans="2:37" ht="18" x14ac:dyDescent="0.35">
      <c r="B121" s="265" t="s">
        <v>1280</v>
      </c>
      <c r="C121" s="256" t="s">
        <v>1077</v>
      </c>
      <c r="D121" s="234">
        <v>-0.31523311436456758</v>
      </c>
      <c r="E121" s="234">
        <v>-0.31678153627146999</v>
      </c>
      <c r="F121" s="234">
        <v>-0.32202474459872982</v>
      </c>
      <c r="G121" s="234">
        <v>-0.33630003564167049</v>
      </c>
      <c r="H121" s="234">
        <v>-0.34967830350317858</v>
      </c>
      <c r="I121" s="234">
        <v>-0.36403327857487972</v>
      </c>
      <c r="J121" s="234">
        <v>-0.37192531838965809</v>
      </c>
      <c r="K121" s="234">
        <v>-0.38833497944713968</v>
      </c>
      <c r="L121" s="234">
        <v>-0.39397945579772231</v>
      </c>
      <c r="M121" s="234">
        <v>-0.40119404984558582</v>
      </c>
      <c r="N121" s="234">
        <v>-0.419965625955043</v>
      </c>
      <c r="O121" s="234">
        <v>-0.42816747406623068</v>
      </c>
      <c r="P121" s="234">
        <v>-0.43835701837980928</v>
      </c>
      <c r="Q121" s="234">
        <v>-0.44439892037098527</v>
      </c>
      <c r="R121" s="234">
        <v>-0.44765119847459101</v>
      </c>
      <c r="S121" s="234">
        <v>-0.45625435321538349</v>
      </c>
      <c r="T121" s="234">
        <v>-0.45970184905184369</v>
      </c>
      <c r="U121" s="234">
        <v>-0.46262466958518511</v>
      </c>
      <c r="V121" s="234">
        <v>-0.46581310923376062</v>
      </c>
      <c r="W121" s="234">
        <v>-0.46832214608944828</v>
      </c>
      <c r="X121" s="234">
        <v>-0.47154974451987758</v>
      </c>
      <c r="Y121" s="234">
        <v>-0.47554483027506572</v>
      </c>
      <c r="Z121" s="234">
        <v>-0.47603554639271628</v>
      </c>
      <c r="AA121" s="234">
        <v>-0.47721489027675529</v>
      </c>
      <c r="AB121" s="234">
        <v>-0.48102405874014648</v>
      </c>
      <c r="AC121" s="234">
        <v>-0.48200153097895959</v>
      </c>
      <c r="AD121" s="234">
        <v>-0.48351599076892898</v>
      </c>
      <c r="AE121" s="234">
        <v>-0.48716493813453249</v>
      </c>
      <c r="AF121" s="234">
        <v>-0.49679220281639419</v>
      </c>
      <c r="AG121" s="234">
        <v>-0.4963229635549597</v>
      </c>
      <c r="AH121" s="234">
        <v>-0.50099504663794348</v>
      </c>
      <c r="AI121" s="234">
        <v>-0.50465212905382251</v>
      </c>
      <c r="AJ121" s="234">
        <v>-0.50462383864249782</v>
      </c>
      <c r="AK121" s="234">
        <v>-0.50502929960608312</v>
      </c>
    </row>
    <row r="122" spans="2:37" x14ac:dyDescent="0.25">
      <c r="B122" s="265" t="s">
        <v>1281</v>
      </c>
      <c r="C122" s="266" t="s">
        <v>535</v>
      </c>
      <c r="D122" s="234">
        <v>-0.2168864370506845</v>
      </c>
      <c r="E122" s="234">
        <v>-0.21659783737031926</v>
      </c>
      <c r="F122" s="234">
        <v>-0.19368906319043633</v>
      </c>
      <c r="G122" s="234">
        <v>-0.173476842783166</v>
      </c>
      <c r="H122" s="234">
        <v>-0.14580690978370497</v>
      </c>
      <c r="I122" s="234">
        <v>-0.12844712091617025</v>
      </c>
      <c r="J122" s="234">
        <v>-0.12494251972380666</v>
      </c>
      <c r="K122" s="234">
        <v>-0.11409668734370361</v>
      </c>
      <c r="L122" s="234">
        <v>-0.11461645791988603</v>
      </c>
      <c r="M122" s="234">
        <v>-0.12172955805723942</v>
      </c>
      <c r="N122" s="234">
        <v>-0.11763086519240414</v>
      </c>
      <c r="O122" s="234">
        <v>-0.11495200989386051</v>
      </c>
      <c r="P122" s="234">
        <v>-9.5918474833659645E-2</v>
      </c>
      <c r="Q122" s="234">
        <v>-9.1573784245490022E-2</v>
      </c>
      <c r="R122" s="234">
        <v>-9.2815333707491982E-2</v>
      </c>
      <c r="S122" s="234">
        <v>-9.2707059889958005E-2</v>
      </c>
      <c r="T122" s="234">
        <v>-8.7200522675062647E-2</v>
      </c>
      <c r="U122" s="234">
        <v>-8.7356538790008403E-2</v>
      </c>
      <c r="V122" s="234">
        <v>-0.10110716795059893</v>
      </c>
      <c r="W122" s="234">
        <v>-0.10551012804523043</v>
      </c>
      <c r="X122" s="234">
        <v>-0.10014415240504226</v>
      </c>
      <c r="Y122" s="234">
        <v>-9.5562476380123912E-2</v>
      </c>
      <c r="Z122" s="234">
        <v>-9.0177019435697503E-2</v>
      </c>
      <c r="AA122" s="234">
        <v>-9.2603724636627693E-2</v>
      </c>
      <c r="AB122" s="234">
        <v>-9.2978430371808335E-2</v>
      </c>
      <c r="AC122" s="234">
        <v>-8.385112372349815E-2</v>
      </c>
      <c r="AD122" s="234">
        <v>-7.4358950850937688E-2</v>
      </c>
      <c r="AE122" s="234">
        <v>-0.10468900982964961</v>
      </c>
      <c r="AF122" s="234">
        <v>-9.9912979150442296E-2</v>
      </c>
      <c r="AG122" s="234">
        <v>-9.673130535228075E-2</v>
      </c>
      <c r="AH122" s="234">
        <v>-9.3965682398074152E-2</v>
      </c>
      <c r="AI122" s="234">
        <v>-9.1554661706473528E-2</v>
      </c>
      <c r="AJ122" s="234">
        <v>-8.944637653077013E-2</v>
      </c>
      <c r="AK122" s="234">
        <v>-8.4529736992705676E-2</v>
      </c>
    </row>
    <row r="123" spans="2:37" hidden="1" x14ac:dyDescent="0.25">
      <c r="B123" s="239" t="s">
        <v>1282</v>
      </c>
      <c r="C123" s="256" t="s">
        <v>92</v>
      </c>
      <c r="D123" s="234">
        <v>-1.472382859188132E-2</v>
      </c>
      <c r="E123" s="234">
        <v>-1.492221754493539E-2</v>
      </c>
      <c r="F123" s="234">
        <v>-1.2085394650741221E-2</v>
      </c>
      <c r="G123" s="234">
        <v>-1.0170127212651391E-2</v>
      </c>
      <c r="H123" s="234">
        <v>-7.6405110550308818E-3</v>
      </c>
      <c r="I123" s="234">
        <v>-5.5614931438276458E-3</v>
      </c>
      <c r="J123" s="234">
        <v>-6.0305634422288916E-3</v>
      </c>
      <c r="K123" s="234">
        <v>-4.9686751560840082E-3</v>
      </c>
      <c r="L123" s="234">
        <v>-6.0305510241612428E-3</v>
      </c>
      <c r="M123" s="234">
        <v>-6.0102535079410773E-3</v>
      </c>
      <c r="N123" s="234">
        <v>-6.4689750372730519E-3</v>
      </c>
      <c r="O123" s="234">
        <v>-6.761354970495825E-3</v>
      </c>
      <c r="P123" s="234">
        <v>-4.857558437958296E-3</v>
      </c>
      <c r="Q123" s="234">
        <v>-4.365188389946718E-3</v>
      </c>
      <c r="R123" s="234">
        <v>-4.9543616292440388E-3</v>
      </c>
      <c r="S123" s="234">
        <v>-5.2740967459551473E-3</v>
      </c>
      <c r="T123" s="234">
        <v>-4.899009871142882E-3</v>
      </c>
      <c r="U123" s="234">
        <v>-4.9692232854558777E-3</v>
      </c>
      <c r="V123" s="234">
        <v>-6.6966945124301578E-3</v>
      </c>
      <c r="W123" s="234">
        <v>-7.3666070096626004E-3</v>
      </c>
      <c r="X123" s="234">
        <v>-7.0396755130135696E-3</v>
      </c>
      <c r="Y123" s="234">
        <v>-6.7853964084670466E-3</v>
      </c>
      <c r="Z123" s="234">
        <v>-5.9884424949368173E-3</v>
      </c>
      <c r="AA123" s="234">
        <v>-5.8445461357204773E-3</v>
      </c>
      <c r="AB123" s="234">
        <v>-5.8422194179707744E-3</v>
      </c>
      <c r="AC123" s="234">
        <v>-4.6418431997401529E-3</v>
      </c>
      <c r="AD123" s="234">
        <v>-3.7694602261532711E-3</v>
      </c>
      <c r="AE123" s="234">
        <v>-6.0741465563947106E-3</v>
      </c>
      <c r="AF123" s="234">
        <v>-5.9046066662588204E-3</v>
      </c>
      <c r="AG123" s="234">
        <v>-5.8191693946834629E-3</v>
      </c>
      <c r="AH123" s="234">
        <v>-5.7485520454984562E-3</v>
      </c>
      <c r="AI123" s="234">
        <v>-5.6890034765454756E-3</v>
      </c>
      <c r="AJ123" s="234">
        <v>-5.6377864842605211E-3</v>
      </c>
      <c r="AK123" s="234">
        <v>-5.6083404749652042E-3</v>
      </c>
    </row>
    <row r="124" spans="2:37" hidden="1" x14ac:dyDescent="0.25">
      <c r="B124" s="239" t="s">
        <v>1283</v>
      </c>
      <c r="C124" s="256" t="s">
        <v>92</v>
      </c>
      <c r="D124" s="234">
        <v>-7.676813485682564E-2</v>
      </c>
      <c r="E124" s="234">
        <v>-7.7327665532770901E-2</v>
      </c>
      <c r="F124" s="234">
        <v>-6.8434510468468129E-2</v>
      </c>
      <c r="G124" s="234">
        <v>-6.1315207329464383E-2</v>
      </c>
      <c r="H124" s="234">
        <v>-5.1828089565370432E-2</v>
      </c>
      <c r="I124" s="234">
        <v>-4.3189304182975348E-2</v>
      </c>
      <c r="J124" s="234">
        <v>-4.2204035640883562E-2</v>
      </c>
      <c r="K124" s="234">
        <v>-3.6959556990319137E-2</v>
      </c>
      <c r="L124" s="234">
        <v>-3.757671855354041E-2</v>
      </c>
      <c r="M124" s="234">
        <v>-3.5621245533102613E-2</v>
      </c>
      <c r="N124" s="234">
        <v>-3.5497504148935863E-2</v>
      </c>
      <c r="O124" s="234">
        <v>-3.5265203296806678E-2</v>
      </c>
      <c r="P124" s="234">
        <v>-2.8435726272429369E-2</v>
      </c>
      <c r="Q124" s="234">
        <v>-2.6142084218055649E-2</v>
      </c>
      <c r="R124" s="234">
        <v>-2.721000402159527E-2</v>
      </c>
      <c r="S124" s="234">
        <v>-2.7751295889891558E-2</v>
      </c>
      <c r="T124" s="234">
        <v>-2.6295866947928931E-2</v>
      </c>
      <c r="U124" s="234">
        <v>-2.6166265335475569E-2</v>
      </c>
      <c r="V124" s="234">
        <v>-3.1182885672030831E-2</v>
      </c>
      <c r="W124" s="234">
        <v>-3.3498618557784521E-2</v>
      </c>
      <c r="X124" s="234">
        <v>-3.2867157079711301E-2</v>
      </c>
      <c r="Y124" s="234">
        <v>-3.2297976789220639E-2</v>
      </c>
      <c r="Z124" s="234">
        <v>-2.99158637667171E-2</v>
      </c>
      <c r="AA124" s="234">
        <v>-2.932286341919934E-2</v>
      </c>
      <c r="AB124" s="234">
        <v>-2.915820493585651E-2</v>
      </c>
      <c r="AC124" s="234">
        <v>-2.5273170981606322E-2</v>
      </c>
      <c r="AD124" s="234">
        <v>-2.2069217915224919E-2</v>
      </c>
      <c r="AE124" s="234">
        <v>-2.8850703164348939E-2</v>
      </c>
      <c r="AF124" s="234">
        <v>-2.835839606574321E-2</v>
      </c>
      <c r="AG124" s="234">
        <v>-2.8178128848934919E-2</v>
      </c>
      <c r="AH124" s="234">
        <v>-2.800486599079325E-2</v>
      </c>
      <c r="AI124" s="234">
        <v>-2.7838219392853879E-2</v>
      </c>
      <c r="AJ124" s="234">
        <v>-2.7677827613614332E-2</v>
      </c>
      <c r="AK124" s="234">
        <v>-2.752281001481045E-2</v>
      </c>
    </row>
    <row r="125" spans="2:37" hidden="1" x14ac:dyDescent="0.25">
      <c r="B125" s="239" t="s">
        <v>1284</v>
      </c>
      <c r="C125" s="256" t="s">
        <v>92</v>
      </c>
      <c r="D125" s="234">
        <v>-8.6813119843155456E-2</v>
      </c>
      <c r="E125" s="234">
        <v>-8.7216315675050476E-2</v>
      </c>
      <c r="F125" s="234">
        <v>-7.7861154532965882E-2</v>
      </c>
      <c r="G125" s="234">
        <v>-7.0058778239666913E-2</v>
      </c>
      <c r="H125" s="234">
        <v>-5.9677477617382492E-2</v>
      </c>
      <c r="I125" s="234">
        <v>-5.0001646926320108E-2</v>
      </c>
      <c r="J125" s="234">
        <v>-4.8091653522135541E-2</v>
      </c>
      <c r="K125" s="234">
        <v>-4.1867533407805663E-2</v>
      </c>
      <c r="L125" s="234">
        <v>-4.1540049656609027E-2</v>
      </c>
      <c r="M125" s="234">
        <v>-3.8761829468466243E-2</v>
      </c>
      <c r="N125" s="234">
        <v>-3.7985482886169028E-2</v>
      </c>
      <c r="O125" s="234">
        <v>-3.7236437752413143E-2</v>
      </c>
      <c r="P125" s="234">
        <v>-2.9806062054927199E-2</v>
      </c>
      <c r="Q125" s="234">
        <v>-2.7011311764601129E-2</v>
      </c>
      <c r="R125" s="234">
        <v>-2.768818235080709E-2</v>
      </c>
      <c r="S125" s="234">
        <v>-2.7905554259959831E-2</v>
      </c>
      <c r="T125" s="234">
        <v>-2.6124784773650909E-2</v>
      </c>
      <c r="U125" s="234">
        <v>-2.5716331517131558E-2</v>
      </c>
      <c r="V125" s="234">
        <v>-3.0664318591706E-2</v>
      </c>
      <c r="W125" s="234">
        <v>-3.2984684596380043E-2</v>
      </c>
      <c r="X125" s="234">
        <v>-3.2337430791752518E-2</v>
      </c>
      <c r="Y125" s="234">
        <v>-3.1746270928761568E-2</v>
      </c>
      <c r="Z125" s="234">
        <v>-2.9281285238591071E-2</v>
      </c>
      <c r="AA125" s="234">
        <v>-2.8748459255292881E-2</v>
      </c>
      <c r="AB125" s="234">
        <v>-2.8226009350327132E-2</v>
      </c>
      <c r="AC125" s="234">
        <v>-2.4369442580363519E-2</v>
      </c>
      <c r="AD125" s="234">
        <v>-2.0920451601394201E-2</v>
      </c>
      <c r="AE125" s="234">
        <v>-2.7697194796974949E-2</v>
      </c>
      <c r="AF125" s="234">
        <v>-2.721338029204701E-2</v>
      </c>
      <c r="AG125" s="234">
        <v>-2.702961394253444E-2</v>
      </c>
      <c r="AH125" s="234">
        <v>-2.6853008356810749E-2</v>
      </c>
      <c r="AI125" s="234">
        <v>-2.6683150126095401E-2</v>
      </c>
      <c r="AJ125" s="234">
        <v>-2.651965725541142E-2</v>
      </c>
      <c r="AK125" s="234">
        <v>-2.637221870853898E-2</v>
      </c>
    </row>
    <row r="126" spans="2:37" hidden="1" x14ac:dyDescent="0.25">
      <c r="B126" s="239" t="s">
        <v>1285</v>
      </c>
      <c r="C126" s="256" t="s">
        <v>92</v>
      </c>
      <c r="D126" s="234">
        <v>-3.8581353758822087E-2</v>
      </c>
      <c r="E126" s="234">
        <v>-3.7131638617562482E-2</v>
      </c>
      <c r="F126" s="234">
        <v>-3.5308003538261093E-2</v>
      </c>
      <c r="G126" s="234">
        <v>-3.1932730001383323E-2</v>
      </c>
      <c r="H126" s="234">
        <v>-2.6660831545921169E-2</v>
      </c>
      <c r="I126" s="234">
        <v>-2.9694676663047141E-2</v>
      </c>
      <c r="J126" s="234">
        <v>-2.861626711855866E-2</v>
      </c>
      <c r="K126" s="234">
        <v>-3.0300921789494801E-2</v>
      </c>
      <c r="L126" s="234">
        <v>-2.9469138685575349E-2</v>
      </c>
      <c r="M126" s="234">
        <v>-4.1336229547729489E-2</v>
      </c>
      <c r="N126" s="234">
        <v>-3.7678903120026197E-2</v>
      </c>
      <c r="O126" s="234">
        <v>-3.5689013874144852E-2</v>
      </c>
      <c r="P126" s="234">
        <v>-3.2819128068344791E-2</v>
      </c>
      <c r="Q126" s="234">
        <v>-3.4055199872886521E-2</v>
      </c>
      <c r="R126" s="234">
        <v>-3.2962785705845578E-2</v>
      </c>
      <c r="S126" s="234">
        <v>-3.1776112994151472E-2</v>
      </c>
      <c r="T126" s="234">
        <v>-2.9880861082339921E-2</v>
      </c>
      <c r="U126" s="234">
        <v>-3.0504718651945401E-2</v>
      </c>
      <c r="V126" s="234">
        <v>-3.2563269174431947E-2</v>
      </c>
      <c r="W126" s="234">
        <v>-3.166021788140326E-2</v>
      </c>
      <c r="X126" s="234">
        <v>-2.789988902056487E-2</v>
      </c>
      <c r="Y126" s="234">
        <v>-2.473283225367465E-2</v>
      </c>
      <c r="Z126" s="234">
        <v>-2.4991427935452521E-2</v>
      </c>
      <c r="AA126" s="234">
        <v>-2.868785582641499E-2</v>
      </c>
      <c r="AB126" s="234">
        <v>-2.9751996667653921E-2</v>
      </c>
      <c r="AC126" s="234">
        <v>-2.9566666961788161E-2</v>
      </c>
      <c r="AD126" s="234">
        <v>-2.75998211081653E-2</v>
      </c>
      <c r="AE126" s="234">
        <v>-4.2066965311931007E-2</v>
      </c>
      <c r="AF126" s="234">
        <v>-3.8436596126393253E-2</v>
      </c>
      <c r="AG126" s="234">
        <v>-3.5704393166127918E-2</v>
      </c>
      <c r="AH126" s="234">
        <v>-3.3359256004971687E-2</v>
      </c>
      <c r="AI126" s="234">
        <v>-3.1344288710978767E-2</v>
      </c>
      <c r="AJ126" s="234">
        <v>-2.961110517748386E-2</v>
      </c>
      <c r="AK126" s="234">
        <v>-2.502636779439104E-2</v>
      </c>
    </row>
    <row r="127" spans="2:37" ht="18" x14ac:dyDescent="0.35">
      <c r="B127" s="265" t="s">
        <v>1286</v>
      </c>
      <c r="C127" s="238" t="s">
        <v>1070</v>
      </c>
      <c r="D127" s="234">
        <v>7.7564751108871316E-3</v>
      </c>
      <c r="E127" s="234">
        <v>7.8370063118384636E-3</v>
      </c>
      <c r="F127" s="234">
        <v>9.4883624292081831E-3</v>
      </c>
      <c r="G127" s="234">
        <v>1.046439715771896E-2</v>
      </c>
      <c r="H127" s="234">
        <v>1.033906776629263E-2</v>
      </c>
      <c r="I127" s="234">
        <v>1.0490995177054241E-2</v>
      </c>
      <c r="J127" s="234">
        <v>1.0941359467964691E-2</v>
      </c>
      <c r="K127" s="234">
        <v>1.038893556413327E-2</v>
      </c>
      <c r="L127" s="234">
        <v>8.0087581529614624E-3</v>
      </c>
      <c r="M127" s="234">
        <v>8.1096756787168902E-3</v>
      </c>
      <c r="N127" s="234">
        <v>1.093306493193103E-2</v>
      </c>
      <c r="O127" s="234">
        <v>1.0657391241791259E-2</v>
      </c>
      <c r="P127" s="234">
        <v>8.9638026973006667E-3</v>
      </c>
      <c r="Q127" s="234">
        <v>9.7720589423372639E-3</v>
      </c>
      <c r="R127" s="234">
        <v>1.4157591581356309E-2</v>
      </c>
      <c r="S127" s="234">
        <v>1.405747251753078E-2</v>
      </c>
      <c r="T127" s="234">
        <v>1.446047280057121E-2</v>
      </c>
      <c r="U127" s="234">
        <v>1.4850565372205801E-2</v>
      </c>
      <c r="V127" s="234">
        <v>1.4426564017820869E-2</v>
      </c>
      <c r="W127" s="234">
        <v>1.3516881640970689E-2</v>
      </c>
      <c r="X127" s="234">
        <v>8.364311041102376E-3</v>
      </c>
      <c r="Y127" s="234">
        <v>9.643814565030483E-3</v>
      </c>
      <c r="Z127" s="234">
        <v>8.2129680576417587E-3</v>
      </c>
      <c r="AA127" s="234">
        <v>8.6018694787762754E-3</v>
      </c>
      <c r="AB127" s="234">
        <v>8.5274845567635434E-3</v>
      </c>
      <c r="AC127" s="234">
        <v>8.0215973775292892E-3</v>
      </c>
      <c r="AD127" s="234">
        <v>7.8387428440467102E-3</v>
      </c>
      <c r="AE127" s="234">
        <v>7.9724634444874234E-3</v>
      </c>
      <c r="AF127" s="234">
        <v>8.1152133814487697E-3</v>
      </c>
      <c r="AG127" s="234">
        <v>8.3578365010812516E-3</v>
      </c>
      <c r="AH127" s="234">
        <v>8.5205431639390622E-3</v>
      </c>
      <c r="AI127" s="234">
        <v>8.6153878799507637E-3</v>
      </c>
      <c r="AJ127" s="234">
        <v>8.6446470129515566E-3</v>
      </c>
      <c r="AK127" s="234">
        <v>8.6605735157953972E-3</v>
      </c>
    </row>
    <row r="128" spans="2:37" x14ac:dyDescent="0.25">
      <c r="B128" s="254" t="s">
        <v>1287</v>
      </c>
      <c r="C128" s="254" t="s">
        <v>535</v>
      </c>
      <c r="D128" s="233">
        <v>0.52826381731954308</v>
      </c>
      <c r="E128" s="233">
        <v>0.51982805345945216</v>
      </c>
      <c r="F128" s="233">
        <v>0.59543713701109002</v>
      </c>
      <c r="G128" s="233">
        <v>0.70228206407514016</v>
      </c>
      <c r="H128" s="233">
        <v>0.7873586690943728</v>
      </c>
      <c r="I128" s="233">
        <v>0.73024705544862212</v>
      </c>
      <c r="J128" s="233">
        <v>0.76095335487280302</v>
      </c>
      <c r="K128" s="233">
        <v>0.87402502752316191</v>
      </c>
      <c r="L128" s="233">
        <v>0.77413039360464042</v>
      </c>
      <c r="M128" s="233">
        <v>0.78227912922843135</v>
      </c>
      <c r="N128" s="233">
        <v>0.96714705987649485</v>
      </c>
      <c r="O128" s="233">
        <v>0.86926819373715281</v>
      </c>
      <c r="P128" s="233">
        <v>0.87933814581401926</v>
      </c>
      <c r="Q128" s="233">
        <v>0.84306323125799809</v>
      </c>
      <c r="R128" s="233">
        <v>0.80762671598084079</v>
      </c>
      <c r="S128" s="233">
        <v>0.86650992550852812</v>
      </c>
      <c r="T128" s="233">
        <v>0.79667288449274287</v>
      </c>
      <c r="U128" s="233">
        <v>0.78301173254441458</v>
      </c>
      <c r="V128" s="233">
        <v>0.80198721445175636</v>
      </c>
      <c r="W128" s="233">
        <v>0.77687930256948867</v>
      </c>
      <c r="X128" s="233">
        <v>0.77725929948934669</v>
      </c>
      <c r="Y128" s="233">
        <v>0.79081738206669905</v>
      </c>
      <c r="Z128" s="233">
        <v>0.77561355458772963</v>
      </c>
      <c r="AA128" s="233">
        <v>0.75916388218672526</v>
      </c>
      <c r="AB128" s="233">
        <v>0.79104852467284381</v>
      </c>
      <c r="AC128" s="233">
        <v>0.72885253600152522</v>
      </c>
      <c r="AD128" s="233">
        <v>0.7101042202147676</v>
      </c>
      <c r="AE128" s="233">
        <v>0.68568950566506959</v>
      </c>
      <c r="AF128" s="233">
        <v>0.6748040157336701</v>
      </c>
      <c r="AG128" s="233">
        <v>0.64821567959859916</v>
      </c>
      <c r="AH128" s="233">
        <v>0.61294471344016876</v>
      </c>
      <c r="AI128" s="233">
        <v>0.61019364367361772</v>
      </c>
      <c r="AJ128" s="233">
        <v>0.61090354925865997</v>
      </c>
      <c r="AK128" s="233">
        <v>0.61155327248320523</v>
      </c>
    </row>
    <row r="129" spans="1:59" ht="18" x14ac:dyDescent="0.35">
      <c r="B129" s="255" t="s">
        <v>1288</v>
      </c>
      <c r="C129" s="256" t="s">
        <v>1077</v>
      </c>
      <c r="D129" s="234">
        <v>0.22498548284143571</v>
      </c>
      <c r="E129" s="234">
        <v>0.21423314109384459</v>
      </c>
      <c r="F129" s="234">
        <v>0.28336255009131578</v>
      </c>
      <c r="G129" s="234">
        <v>0.36997590462222851</v>
      </c>
      <c r="H129" s="234">
        <v>0.43607350710832349</v>
      </c>
      <c r="I129" s="234">
        <v>0.35414376092943523</v>
      </c>
      <c r="J129" s="234">
        <v>0.35030103448714522</v>
      </c>
      <c r="K129" s="234">
        <v>0.41868179127103339</v>
      </c>
      <c r="L129" s="234">
        <v>0.30248185148604101</v>
      </c>
      <c r="M129" s="234">
        <v>0.29390427457669432</v>
      </c>
      <c r="N129" s="234">
        <v>0.42851422602495348</v>
      </c>
      <c r="O129" s="234">
        <v>0.30437796533489808</v>
      </c>
      <c r="P129" s="234">
        <v>0.30444973286105109</v>
      </c>
      <c r="Q129" s="234">
        <v>0.26667959708764988</v>
      </c>
      <c r="R129" s="234">
        <v>0.24110081392644611</v>
      </c>
      <c r="S129" s="234">
        <v>0.29992712557008672</v>
      </c>
      <c r="T129" s="234">
        <v>0.23194546333692129</v>
      </c>
      <c r="U129" s="234">
        <v>0.21780563683787951</v>
      </c>
      <c r="V129" s="234">
        <v>0.2384966875278412</v>
      </c>
      <c r="W129" s="234">
        <v>0.21250775776152689</v>
      </c>
      <c r="X129" s="234">
        <v>0.21282037293400519</v>
      </c>
      <c r="Y129" s="234">
        <v>0.2228918337639782</v>
      </c>
      <c r="Z129" s="234">
        <v>0.20722649453762951</v>
      </c>
      <c r="AA129" s="234">
        <v>0.2040493603892454</v>
      </c>
      <c r="AB129" s="234">
        <v>0.24955520446131799</v>
      </c>
      <c r="AC129" s="234">
        <v>0.20876709737595309</v>
      </c>
      <c r="AD129" s="234">
        <v>0.21530405317514931</v>
      </c>
      <c r="AE129" s="234">
        <v>0.22063892354473841</v>
      </c>
      <c r="AF129" s="234">
        <v>0.22307084028000559</v>
      </c>
      <c r="AG129" s="234">
        <v>0.2239398241449346</v>
      </c>
      <c r="AH129" s="234">
        <v>0.22474643798650421</v>
      </c>
      <c r="AI129" s="234">
        <v>0.2254954317204719</v>
      </c>
      <c r="AJ129" s="234">
        <v>0.22619117113748191</v>
      </c>
      <c r="AK129" s="234">
        <v>0.22683767073093081</v>
      </c>
    </row>
    <row r="130" spans="1:59" ht="18" x14ac:dyDescent="0.35">
      <c r="B130" s="255" t="s">
        <v>1289</v>
      </c>
      <c r="C130" s="256" t="s">
        <v>1077</v>
      </c>
      <c r="D130" s="234">
        <v>2.5703738971817939E-2</v>
      </c>
      <c r="E130" s="234">
        <v>2.563742462482678E-2</v>
      </c>
      <c r="F130" s="234">
        <v>2.5571110277835641E-2</v>
      </c>
      <c r="G130" s="234">
        <v>2.5497483136648309E-2</v>
      </c>
      <c r="H130" s="234">
        <v>2.5423855995460959E-2</v>
      </c>
      <c r="I130" s="234">
        <v>2.535022885427362E-2</v>
      </c>
      <c r="J130" s="234">
        <v>2.5276601713086311E-2</v>
      </c>
      <c r="K130" s="234">
        <v>2.5202974571898969E-2</v>
      </c>
      <c r="L130" s="234">
        <v>2.5129347430711661E-2</v>
      </c>
      <c r="M130" s="234">
        <v>2.5055720289524321E-2</v>
      </c>
      <c r="N130" s="234">
        <v>2.498209314833701E-2</v>
      </c>
      <c r="O130" s="234">
        <v>2.4911262248402968E-2</v>
      </c>
      <c r="P130" s="234">
        <v>2.484043134846893E-2</v>
      </c>
      <c r="Q130" s="234">
        <v>2.4769600448534879E-2</v>
      </c>
      <c r="R130" s="234">
        <v>2.4698769548600841E-2</v>
      </c>
      <c r="S130" s="234">
        <v>2.4627938648666789E-2</v>
      </c>
      <c r="T130" s="234">
        <v>2.455710774873272E-2</v>
      </c>
      <c r="U130" s="234">
        <v>2.4486276848798672E-2</v>
      </c>
      <c r="V130" s="234">
        <v>2.441544594886463E-2</v>
      </c>
      <c r="W130" s="234">
        <v>2.4344615048930589E-2</v>
      </c>
      <c r="X130" s="234">
        <v>2.4261852723028839E-2</v>
      </c>
      <c r="Y130" s="234">
        <v>2.417909039712712E-2</v>
      </c>
      <c r="Z130" s="234">
        <v>2.409632807122537E-2</v>
      </c>
      <c r="AA130" s="234">
        <v>2.4013565745323619E-2</v>
      </c>
      <c r="AB130" s="234">
        <v>2.3930803419421869E-2</v>
      </c>
      <c r="AC130" s="234">
        <v>2.3848041093520161E-2</v>
      </c>
      <c r="AD130" s="234">
        <v>2.3765278767618449E-2</v>
      </c>
      <c r="AE130" s="234">
        <v>2.368251644171666E-2</v>
      </c>
      <c r="AF130" s="234">
        <v>2.368251644171666E-2</v>
      </c>
      <c r="AG130" s="234">
        <v>2.368251644171666E-2</v>
      </c>
      <c r="AH130" s="234">
        <v>2.368251644171666E-2</v>
      </c>
      <c r="AI130" s="234">
        <v>2.368251644171666E-2</v>
      </c>
      <c r="AJ130" s="234">
        <v>2.368251644171666E-2</v>
      </c>
      <c r="AK130" s="234">
        <v>2.368251644171666E-2</v>
      </c>
    </row>
    <row r="131" spans="1:59" ht="18" x14ac:dyDescent="0.35">
      <c r="B131" s="255" t="s">
        <v>1254</v>
      </c>
      <c r="C131" s="256" t="s">
        <v>1077</v>
      </c>
      <c r="D131" s="234">
        <v>5.2250334413440201E-2</v>
      </c>
      <c r="E131" s="234">
        <v>5.2115531192379813E-2</v>
      </c>
      <c r="F131" s="234">
        <v>5.1980727971319432E-2</v>
      </c>
      <c r="G131" s="234">
        <v>5.1831059366562703E-2</v>
      </c>
      <c r="H131" s="234">
        <v>5.1681390761805973E-2</v>
      </c>
      <c r="I131" s="234">
        <v>5.1531722157049202E-2</v>
      </c>
      <c r="J131" s="234">
        <v>5.1382053552292473E-2</v>
      </c>
      <c r="K131" s="234">
        <v>5.1232384947535743E-2</v>
      </c>
      <c r="L131" s="234">
        <v>5.1082716342778958E-2</v>
      </c>
      <c r="M131" s="234">
        <v>5.0933047738022222E-2</v>
      </c>
      <c r="N131" s="234">
        <v>5.0783379133265458E-2</v>
      </c>
      <c r="O131" s="234">
        <v>5.0639394703124153E-2</v>
      </c>
      <c r="P131" s="234">
        <v>5.0495410272982787E-2</v>
      </c>
      <c r="Q131" s="234">
        <v>5.0351425842841503E-2</v>
      </c>
      <c r="R131" s="234">
        <v>5.0207441412700143E-2</v>
      </c>
      <c r="S131" s="234">
        <v>5.0063456982558832E-2</v>
      </c>
      <c r="T131" s="234">
        <v>4.9919472552417493E-2</v>
      </c>
      <c r="U131" s="234">
        <v>4.977548812227614E-2</v>
      </c>
      <c r="V131" s="234">
        <v>4.9631503692134829E-2</v>
      </c>
      <c r="W131" s="234">
        <v>4.9487519261993483E-2</v>
      </c>
      <c r="X131" s="234">
        <v>4.9319280734130257E-2</v>
      </c>
      <c r="Y131" s="234">
        <v>4.9151042206266989E-2</v>
      </c>
      <c r="Z131" s="234">
        <v>4.898280367840372E-2</v>
      </c>
      <c r="AA131" s="234">
        <v>4.8814565150540487E-2</v>
      </c>
      <c r="AB131" s="234">
        <v>4.8646326622677233E-2</v>
      </c>
      <c r="AC131" s="234">
        <v>4.8478088094813993E-2</v>
      </c>
      <c r="AD131" s="234">
        <v>4.8309849566950731E-2</v>
      </c>
      <c r="AE131" s="234">
        <v>4.8141611039087498E-2</v>
      </c>
      <c r="AF131" s="234">
        <v>4.8141611039087498E-2</v>
      </c>
      <c r="AG131" s="234">
        <v>4.8141611039087498E-2</v>
      </c>
      <c r="AH131" s="234">
        <v>4.8141611039087498E-2</v>
      </c>
      <c r="AI131" s="234">
        <v>4.8141611039087498E-2</v>
      </c>
      <c r="AJ131" s="234">
        <v>4.8141611039087498E-2</v>
      </c>
      <c r="AK131" s="234">
        <v>4.8141611039087498E-2</v>
      </c>
    </row>
    <row r="132" spans="1:59" ht="18" x14ac:dyDescent="0.35">
      <c r="B132" s="255" t="s">
        <v>1255</v>
      </c>
      <c r="C132" s="256" t="s">
        <v>1077</v>
      </c>
      <c r="D132" s="234">
        <v>0.13627445775951591</v>
      </c>
      <c r="E132" s="234">
        <v>0.13592287654840091</v>
      </c>
      <c r="F132" s="234">
        <v>0.13557129533728579</v>
      </c>
      <c r="G132" s="234">
        <v>0.1351809436163674</v>
      </c>
      <c r="H132" s="234">
        <v>0.13479059189544909</v>
      </c>
      <c r="I132" s="234">
        <v>0.1344002401745307</v>
      </c>
      <c r="J132" s="234">
        <v>0.13400988845361231</v>
      </c>
      <c r="K132" s="234">
        <v>0.13361953673269389</v>
      </c>
      <c r="L132" s="234">
        <v>0.13322918501177561</v>
      </c>
      <c r="M132" s="234">
        <v>0.13283883329085719</v>
      </c>
      <c r="N132" s="234">
        <v>0.1324484815699388</v>
      </c>
      <c r="O132" s="234">
        <v>0.13207295478406089</v>
      </c>
      <c r="P132" s="234">
        <v>0.1316974279981831</v>
      </c>
      <c r="Q132" s="234">
        <v>0.13132190121230519</v>
      </c>
      <c r="R132" s="234">
        <v>0.13094637442642701</v>
      </c>
      <c r="S132" s="234">
        <v>0.13057084764054919</v>
      </c>
      <c r="T132" s="234">
        <v>0.13019532085467131</v>
      </c>
      <c r="U132" s="234">
        <v>0.12981979406879349</v>
      </c>
      <c r="V132" s="234">
        <v>0.12944426728291561</v>
      </c>
      <c r="W132" s="234">
        <v>0.1290687404970377</v>
      </c>
      <c r="X132" s="234">
        <v>0.12862995643151581</v>
      </c>
      <c r="Y132" s="234">
        <v>0.12819117236599339</v>
      </c>
      <c r="Z132" s="234">
        <v>0.12775238830047109</v>
      </c>
      <c r="AA132" s="234">
        <v>0.12731360423494911</v>
      </c>
      <c r="AB132" s="234">
        <v>0.12687482016942669</v>
      </c>
      <c r="AC132" s="234">
        <v>0.12643603610390469</v>
      </c>
      <c r="AD132" s="234">
        <v>0.12599725203838241</v>
      </c>
      <c r="AE132" s="234">
        <v>0.12555846797286041</v>
      </c>
      <c r="AF132" s="234">
        <v>0.12555846797286041</v>
      </c>
      <c r="AG132" s="234">
        <v>0.12555846797286041</v>
      </c>
      <c r="AH132" s="234">
        <v>0.12555846797286041</v>
      </c>
      <c r="AI132" s="234">
        <v>0.12555846797286041</v>
      </c>
      <c r="AJ132" s="234">
        <v>0.12555846797286041</v>
      </c>
      <c r="AK132" s="234">
        <v>0.12555846797286041</v>
      </c>
    </row>
    <row r="133" spans="1:59" ht="18" x14ac:dyDescent="0.35">
      <c r="B133" s="255" t="s">
        <v>1290</v>
      </c>
      <c r="C133" s="256" t="s">
        <v>1077</v>
      </c>
      <c r="D133" s="234">
        <v>8.904980333333333E-2</v>
      </c>
      <c r="E133" s="234">
        <v>9.191908E-2</v>
      </c>
      <c r="F133" s="234">
        <v>9.8951453333333328E-2</v>
      </c>
      <c r="G133" s="234">
        <v>0.1197966733333333</v>
      </c>
      <c r="H133" s="234">
        <v>0.13938932333333329</v>
      </c>
      <c r="I133" s="234">
        <v>0.1648211033333333</v>
      </c>
      <c r="J133" s="234">
        <v>0.1999837766666667</v>
      </c>
      <c r="K133" s="234">
        <v>0.24528833999999999</v>
      </c>
      <c r="L133" s="234">
        <v>0.26220729333333331</v>
      </c>
      <c r="M133" s="234">
        <v>0.2795472533333333</v>
      </c>
      <c r="N133" s="234">
        <v>0.33041888000000003</v>
      </c>
      <c r="O133" s="234">
        <v>0.3572666166666667</v>
      </c>
      <c r="P133" s="234">
        <v>0.36785514333333341</v>
      </c>
      <c r="Q133" s="234">
        <v>0.36994070666666662</v>
      </c>
      <c r="R133" s="234">
        <v>0.36067331666666669</v>
      </c>
      <c r="S133" s="234">
        <v>0.36132055666666663</v>
      </c>
      <c r="T133" s="234">
        <v>0.36005552000000002</v>
      </c>
      <c r="U133" s="234">
        <v>0.36112453666666672</v>
      </c>
      <c r="V133" s="234">
        <v>0.35999931000000002</v>
      </c>
      <c r="W133" s="234">
        <v>0.36147066999999999</v>
      </c>
      <c r="X133" s="234">
        <v>0.36222783666666658</v>
      </c>
      <c r="Y133" s="234">
        <v>0.36640424333333332</v>
      </c>
      <c r="Z133" s="234">
        <v>0.36755554000000001</v>
      </c>
      <c r="AA133" s="234">
        <v>0.35497278666666671</v>
      </c>
      <c r="AB133" s="234">
        <v>0.34204137000000001</v>
      </c>
      <c r="AC133" s="234">
        <v>0.32132327333333333</v>
      </c>
      <c r="AD133" s="234">
        <v>0.29672778666666672</v>
      </c>
      <c r="AE133" s="234">
        <v>0.26766798666666658</v>
      </c>
      <c r="AF133" s="234">
        <v>0.25435057999999999</v>
      </c>
      <c r="AG133" s="234">
        <v>0.22689326000000001</v>
      </c>
      <c r="AH133" s="234">
        <v>0.19081567999999999</v>
      </c>
      <c r="AI133" s="234">
        <v>0.18731561649948131</v>
      </c>
      <c r="AJ133" s="234">
        <v>0.18732978266751349</v>
      </c>
      <c r="AK133" s="234">
        <v>0.18733300629860991</v>
      </c>
    </row>
    <row r="134" spans="1:59" ht="15.75" x14ac:dyDescent="0.25">
      <c r="B134" s="260" t="s">
        <v>1291</v>
      </c>
      <c r="C134" s="261" t="s">
        <v>535</v>
      </c>
      <c r="D134" s="262">
        <v>0.28954829235297019</v>
      </c>
      <c r="E134" s="262">
        <v>0.29001157526632826</v>
      </c>
      <c r="F134" s="262">
        <v>0.28947078158522455</v>
      </c>
      <c r="G134" s="262">
        <v>0.28994581268703234</v>
      </c>
      <c r="H134" s="262">
        <v>0.28934456168830874</v>
      </c>
      <c r="I134" s="262">
        <v>0.28710864389267127</v>
      </c>
      <c r="J134" s="262">
        <v>0.28620221730803086</v>
      </c>
      <c r="K134" s="262">
        <v>0.28727166728983</v>
      </c>
      <c r="L134" s="262">
        <v>0.2876211066916412</v>
      </c>
      <c r="M134" s="262">
        <v>0.2772062371145379</v>
      </c>
      <c r="N134" s="262">
        <v>0.27762117311766815</v>
      </c>
      <c r="O134" s="262">
        <v>0.2770440913584834</v>
      </c>
      <c r="P134" s="262">
        <v>0.27636172372830681</v>
      </c>
      <c r="Q134" s="262">
        <v>0.27711132132441957</v>
      </c>
      <c r="R134" s="262">
        <v>0.27774449854971889</v>
      </c>
      <c r="S134" s="262">
        <v>0.27767365110823289</v>
      </c>
      <c r="T134" s="262">
        <v>0.27641001359467943</v>
      </c>
      <c r="U134" s="262">
        <v>0.27722304413191834</v>
      </c>
      <c r="V134" s="262">
        <v>0.27309303285659475</v>
      </c>
      <c r="W134" s="262">
        <v>0.26866952524553817</v>
      </c>
      <c r="X134" s="262">
        <v>0.26893365740638442</v>
      </c>
      <c r="Y134" s="262">
        <v>0.26769594722266865</v>
      </c>
      <c r="Z134" s="262">
        <v>0.26690773108915777</v>
      </c>
      <c r="AA134" s="262">
        <v>0.26658552423053017</v>
      </c>
      <c r="AB134" s="262">
        <v>0.26656372508178372</v>
      </c>
      <c r="AC134" s="262">
        <v>0.2663751561088748</v>
      </c>
      <c r="AD134" s="262">
        <v>0.266211490388992</v>
      </c>
      <c r="AE134" s="262">
        <v>0.26675645935955095</v>
      </c>
      <c r="AF134" s="262">
        <v>0.2655782985499911</v>
      </c>
      <c r="AG134" s="262">
        <v>0.26532172745685129</v>
      </c>
      <c r="AH134" s="262">
        <v>0.26517450597302517</v>
      </c>
      <c r="AI134" s="262">
        <v>0.26488922899757533</v>
      </c>
      <c r="AJ134" s="262">
        <v>0.2649924689537243</v>
      </c>
      <c r="AK134" s="262">
        <v>0.26454328001316219</v>
      </c>
    </row>
    <row r="135" spans="1:59" x14ac:dyDescent="0.25">
      <c r="B135" s="254" t="s">
        <v>1292</v>
      </c>
      <c r="C135" s="254" t="s">
        <v>535</v>
      </c>
      <c r="D135" s="233">
        <v>5.9649674201608599E-3</v>
      </c>
      <c r="E135" s="233">
        <v>5.5380431543255804E-3</v>
      </c>
      <c r="F135" s="233">
        <v>5.3586483916378529E-3</v>
      </c>
      <c r="G135" s="233">
        <v>5.8074795681777947E-3</v>
      </c>
      <c r="H135" s="233">
        <v>5.5633127071523566E-3</v>
      </c>
      <c r="I135" s="233">
        <v>6.369258151167431E-3</v>
      </c>
      <c r="J135" s="233">
        <v>5.4523330856704041E-3</v>
      </c>
      <c r="K135" s="233">
        <v>6.52178306746958E-3</v>
      </c>
      <c r="L135" s="233">
        <v>6.8321039739799123E-3</v>
      </c>
      <c r="M135" s="233">
        <v>7.2657637099946383E-3</v>
      </c>
      <c r="N135" s="233">
        <v>7.6806997131249116E-3</v>
      </c>
      <c r="O135" s="233">
        <v>7.090552605848119E-3</v>
      </c>
      <c r="P135" s="233">
        <v>6.23753987850651E-3</v>
      </c>
      <c r="Q135" s="233">
        <v>6.1349836901121117E-3</v>
      </c>
      <c r="R135" s="233">
        <v>6.7681609154114407E-3</v>
      </c>
      <c r="S135" s="233">
        <v>6.6973134739254482E-3</v>
      </c>
      <c r="T135" s="233">
        <v>5.418061171270353E-3</v>
      </c>
      <c r="U135" s="233">
        <v>6.3076633038111774E-3</v>
      </c>
      <c r="V135" s="233">
        <v>6.1179513172473369E-3</v>
      </c>
      <c r="W135" s="233">
        <v>6.0761606186199874E-3</v>
      </c>
      <c r="X135" s="233">
        <v>6.3223364623716336E-3</v>
      </c>
      <c r="Y135" s="233">
        <v>5.7142929047661172E-3</v>
      </c>
      <c r="Z135" s="233">
        <v>4.9260767712552304E-3</v>
      </c>
      <c r="AA135" s="233">
        <v>4.6389058794385754E-3</v>
      </c>
      <c r="AB135" s="233">
        <v>4.6344960775486378E-3</v>
      </c>
      <c r="AC135" s="233">
        <v>4.472259963914098E-3</v>
      </c>
      <c r="AD135" s="233">
        <v>4.3136635105251236E-3</v>
      </c>
      <c r="AE135" s="233">
        <v>4.8586324810840744E-3</v>
      </c>
      <c r="AF135" s="233">
        <v>3.7674989421641689E-3</v>
      </c>
      <c r="AG135" s="233">
        <v>3.5253675319193538E-3</v>
      </c>
      <c r="AH135" s="233">
        <v>3.3781460480932029E-3</v>
      </c>
      <c r="AI135" s="233">
        <v>3.1113893327932452E-3</v>
      </c>
      <c r="AJ135" s="233">
        <v>3.343073055464032E-3</v>
      </c>
      <c r="AK135" s="233">
        <v>3.423011970856421E-3</v>
      </c>
    </row>
    <row r="136" spans="1:59" customFormat="1" ht="18" x14ac:dyDescent="0.35">
      <c r="A136" s="222"/>
      <c r="B136" s="265" t="s">
        <v>1293</v>
      </c>
      <c r="C136" s="256" t="s">
        <v>1077</v>
      </c>
      <c r="D136" s="234">
        <v>5.9649674201608599E-3</v>
      </c>
      <c r="E136" s="234">
        <v>5.5380431543255804E-3</v>
      </c>
      <c r="F136" s="234">
        <v>5.3586483916378529E-3</v>
      </c>
      <c r="G136" s="234">
        <v>5.8074795681777947E-3</v>
      </c>
      <c r="H136" s="234">
        <v>5.5633127071523566E-3</v>
      </c>
      <c r="I136" s="234">
        <v>6.369258151167431E-3</v>
      </c>
      <c r="J136" s="234">
        <v>5.4523330856704041E-3</v>
      </c>
      <c r="K136" s="234">
        <v>6.52178306746958E-3</v>
      </c>
      <c r="L136" s="234">
        <v>6.8321039739799123E-3</v>
      </c>
      <c r="M136" s="234">
        <v>7.2657637099946383E-3</v>
      </c>
      <c r="N136" s="234">
        <v>7.6806997131249116E-3</v>
      </c>
      <c r="O136" s="234">
        <v>7.090552605848119E-3</v>
      </c>
      <c r="P136" s="234">
        <v>6.23753987850651E-3</v>
      </c>
      <c r="Q136" s="234">
        <v>6.1349836901121117E-3</v>
      </c>
      <c r="R136" s="234">
        <v>6.7681609154114407E-3</v>
      </c>
      <c r="S136" s="234">
        <v>6.6973134739254482E-3</v>
      </c>
      <c r="T136" s="234">
        <v>5.418061171270353E-3</v>
      </c>
      <c r="U136" s="234">
        <v>6.3076633038111774E-3</v>
      </c>
      <c r="V136" s="234">
        <v>6.1179513172473369E-3</v>
      </c>
      <c r="W136" s="234">
        <v>6.0761606186199874E-3</v>
      </c>
      <c r="X136" s="234">
        <v>6.3223364623716336E-3</v>
      </c>
      <c r="Y136" s="234">
        <v>5.7142929047661172E-3</v>
      </c>
      <c r="Z136" s="234">
        <v>4.9260767712552304E-3</v>
      </c>
      <c r="AA136" s="234">
        <v>4.6389058794385754E-3</v>
      </c>
      <c r="AB136" s="234">
        <v>4.6344960775486378E-3</v>
      </c>
      <c r="AC136" s="234">
        <v>4.472259963914098E-3</v>
      </c>
      <c r="AD136" s="234">
        <v>4.3136635105251236E-3</v>
      </c>
      <c r="AE136" s="234">
        <v>4.8586324810840744E-3</v>
      </c>
      <c r="AF136" s="234">
        <v>3.7674989421641689E-3</v>
      </c>
      <c r="AG136" s="234">
        <v>3.5253675319193538E-3</v>
      </c>
      <c r="AH136" s="234">
        <v>3.3781460480932029E-3</v>
      </c>
      <c r="AI136" s="234">
        <v>3.1113893327932452E-3</v>
      </c>
      <c r="AJ136" s="234">
        <v>3.343073055464032E-3</v>
      </c>
      <c r="AK136" s="234">
        <v>3.423011970856421E-3</v>
      </c>
      <c r="AL136" s="222"/>
      <c r="AM136" s="222"/>
      <c r="AN136" s="222"/>
      <c r="AO136" s="222"/>
      <c r="AP136" s="222"/>
      <c r="AQ136" s="222"/>
      <c r="AR136" s="222"/>
      <c r="AS136" s="222"/>
      <c r="AT136" s="222"/>
      <c r="AU136" s="222"/>
      <c r="AV136" s="222"/>
      <c r="AW136" s="222"/>
      <c r="AX136" s="222"/>
      <c r="AY136" s="222"/>
      <c r="AZ136" s="222"/>
      <c r="BA136" s="222"/>
      <c r="BB136" s="222"/>
      <c r="BC136" s="222"/>
      <c r="BD136" s="222"/>
      <c r="BE136" s="222"/>
      <c r="BF136" s="222"/>
      <c r="BG136" s="222"/>
    </row>
    <row r="137" spans="1:59" customFormat="1" x14ac:dyDescent="0.25">
      <c r="B137" s="254" t="s">
        <v>1294</v>
      </c>
      <c r="C137" s="254" t="s">
        <v>535</v>
      </c>
      <c r="D137" s="233">
        <v>0.24418810475853925</v>
      </c>
      <c r="E137" s="233">
        <v>0.24424552429333798</v>
      </c>
      <c r="F137" s="233">
        <v>0.2444711542896576</v>
      </c>
      <c r="G137" s="233">
        <v>0.24448441681266492</v>
      </c>
      <c r="H137" s="233">
        <v>0.24472064671471155</v>
      </c>
      <c r="I137" s="233">
        <v>0.24581453820285221</v>
      </c>
      <c r="J137" s="233">
        <v>0.24581578436388643</v>
      </c>
      <c r="K137" s="233">
        <v>0.24581578436388643</v>
      </c>
      <c r="L137" s="233">
        <v>0.2458801499811612</v>
      </c>
      <c r="M137" s="233">
        <v>0.2524723433865172</v>
      </c>
      <c r="N137" s="233">
        <v>0.2524723433865172</v>
      </c>
      <c r="O137" s="233">
        <v>0.25250067494173811</v>
      </c>
      <c r="P137" s="233">
        <v>0.25255651710520538</v>
      </c>
      <c r="Q137" s="233">
        <v>0.25255651710520538</v>
      </c>
      <c r="R137" s="233">
        <v>0.25255651710520538</v>
      </c>
      <c r="S137" s="233">
        <v>0.25255651710520538</v>
      </c>
      <c r="T137" s="233">
        <v>0.25255791979166486</v>
      </c>
      <c r="U137" s="233">
        <v>0.25262864739921231</v>
      </c>
      <c r="V137" s="233">
        <v>0.25501716172274408</v>
      </c>
      <c r="W137" s="233">
        <v>0.25855960147064849</v>
      </c>
      <c r="X137" s="233">
        <v>0.25857457185485033</v>
      </c>
      <c r="Y137" s="233">
        <v>0.25896459766273816</v>
      </c>
      <c r="Z137" s="233">
        <v>0.25896459766273816</v>
      </c>
      <c r="AA137" s="233">
        <v>0.25899339835160534</v>
      </c>
      <c r="AB137" s="233">
        <v>0.25900769295266846</v>
      </c>
      <c r="AC137" s="233">
        <v>0.25904377037804865</v>
      </c>
      <c r="AD137" s="233">
        <v>0.25905071554422898</v>
      </c>
      <c r="AE137" s="233">
        <v>0.25905071554422898</v>
      </c>
      <c r="AF137" s="233">
        <v>0.25910780519699694</v>
      </c>
      <c r="AG137" s="233">
        <v>0.25911967507964206</v>
      </c>
      <c r="AH137" s="233">
        <v>0.25911967507964206</v>
      </c>
      <c r="AI137" s="233">
        <v>0.25913489932771816</v>
      </c>
      <c r="AJ137" s="233">
        <v>0.25921785977065015</v>
      </c>
      <c r="AK137" s="233">
        <v>0.25954088569920275</v>
      </c>
      <c r="AL137" s="222"/>
      <c r="AM137" s="222"/>
      <c r="AN137" s="222"/>
      <c r="AO137" s="222"/>
      <c r="AP137" s="222"/>
      <c r="AQ137" s="222"/>
      <c r="AR137" s="222"/>
      <c r="AS137" s="222"/>
      <c r="AT137" s="222"/>
      <c r="AU137" s="222"/>
      <c r="AV137" s="222"/>
      <c r="AW137" s="222"/>
      <c r="AX137" s="222"/>
      <c r="AY137" s="222"/>
      <c r="AZ137" s="222"/>
      <c r="BA137" s="222"/>
      <c r="BB137" s="222"/>
      <c r="BC137" s="222"/>
      <c r="BD137" s="222"/>
      <c r="BE137" s="222"/>
      <c r="BF137" s="222"/>
      <c r="BG137" s="222"/>
    </row>
    <row r="138" spans="1:59" x14ac:dyDescent="0.25">
      <c r="B138" s="267" t="s">
        <v>1295</v>
      </c>
      <c r="C138" s="266" t="s">
        <v>535</v>
      </c>
      <c r="D138" s="234">
        <v>0.17805503406757686</v>
      </c>
      <c r="E138" s="234">
        <v>0.17809657953302904</v>
      </c>
      <c r="F138" s="234">
        <v>0.17830697318159994</v>
      </c>
      <c r="G138" s="234">
        <v>0.17832023570460726</v>
      </c>
      <c r="H138" s="234">
        <v>0.17855430225242372</v>
      </c>
      <c r="I138" s="234">
        <v>0.17964819374056437</v>
      </c>
      <c r="J138" s="234">
        <v>0.17964819374056437</v>
      </c>
      <c r="K138" s="234">
        <v>0.17964819374056437</v>
      </c>
      <c r="L138" s="234">
        <v>0.17970982464442725</v>
      </c>
      <c r="M138" s="234">
        <v>0.18630152846852743</v>
      </c>
      <c r="N138" s="234">
        <v>0.18630152846852743</v>
      </c>
      <c r="O138" s="234">
        <v>0.18630152846852743</v>
      </c>
      <c r="P138" s="234">
        <v>0.18630152846852743</v>
      </c>
      <c r="Q138" s="234">
        <v>0.18630152846852743</v>
      </c>
      <c r="R138" s="234">
        <v>0.18630152846852743</v>
      </c>
      <c r="S138" s="234">
        <v>0.18630152846852743</v>
      </c>
      <c r="T138" s="234">
        <v>0.18630152846852743</v>
      </c>
      <c r="U138" s="234">
        <v>0.18637225607607488</v>
      </c>
      <c r="V138" s="234">
        <v>0.18876077039960668</v>
      </c>
      <c r="W138" s="234">
        <v>0.19230321014751112</v>
      </c>
      <c r="X138" s="234">
        <v>0.19231818053171296</v>
      </c>
      <c r="Y138" s="234">
        <v>0.19269325333048148</v>
      </c>
      <c r="Z138" s="234">
        <v>0.19269325333048148</v>
      </c>
      <c r="AA138" s="234">
        <v>0.19269325333048148</v>
      </c>
      <c r="AB138" s="234">
        <v>0.19269325333048148</v>
      </c>
      <c r="AC138" s="234">
        <v>0.19269325333048148</v>
      </c>
      <c r="AD138" s="234">
        <v>0.19269325333048148</v>
      </c>
      <c r="AE138" s="234">
        <v>0.19269325333048148</v>
      </c>
      <c r="AF138" s="234">
        <v>0.1927338311373577</v>
      </c>
      <c r="AG138" s="234">
        <v>0.1927338311373577</v>
      </c>
      <c r="AH138" s="234">
        <v>0.1927338311373577</v>
      </c>
      <c r="AI138" s="234">
        <v>0.1927338311373577</v>
      </c>
      <c r="AJ138" s="234">
        <v>0.19279736601260131</v>
      </c>
      <c r="AK138" s="234">
        <v>0.19311170384902956</v>
      </c>
    </row>
    <row r="139" spans="1:59" ht="18" hidden="1" x14ac:dyDescent="0.35">
      <c r="B139" s="268" t="s">
        <v>1296</v>
      </c>
      <c r="C139" s="256" t="s">
        <v>1068</v>
      </c>
      <c r="D139" s="234">
        <v>1.470179180374487E-2</v>
      </c>
      <c r="E139" s="234">
        <v>1.470522216327763E-2</v>
      </c>
      <c r="F139" s="234">
        <v>1.4722594115911911E-2</v>
      </c>
      <c r="G139" s="234">
        <v>1.4723689186618949E-2</v>
      </c>
      <c r="H139" s="234">
        <v>1.474301578231022E-2</v>
      </c>
      <c r="I139" s="234">
        <v>1.483333709784476E-2</v>
      </c>
      <c r="J139" s="234">
        <v>1.483333709784476E-2</v>
      </c>
      <c r="K139" s="234">
        <v>1.483333709784476E-2</v>
      </c>
      <c r="L139" s="234">
        <v>1.4838425888071971E-2</v>
      </c>
      <c r="M139" s="234">
        <v>1.538269501116281E-2</v>
      </c>
      <c r="N139" s="234">
        <v>1.538269501116281E-2</v>
      </c>
      <c r="O139" s="234">
        <v>1.538269501116281E-2</v>
      </c>
      <c r="P139" s="234">
        <v>1.538269501116281E-2</v>
      </c>
      <c r="Q139" s="234">
        <v>1.538269501116281E-2</v>
      </c>
      <c r="R139" s="234">
        <v>1.538269501116281E-2</v>
      </c>
      <c r="S139" s="234">
        <v>1.538269501116281E-2</v>
      </c>
      <c r="T139" s="234">
        <v>1.538269501116281E-2</v>
      </c>
      <c r="U139" s="234">
        <v>1.5388534905363981E-2</v>
      </c>
      <c r="V139" s="234">
        <v>1.558575168437119E-2</v>
      </c>
      <c r="W139" s="234">
        <v>1.5878246709427529E-2</v>
      </c>
      <c r="X139" s="234">
        <v>1.5879482796196481E-2</v>
      </c>
      <c r="Y139" s="234">
        <v>1.5910452109856268E-2</v>
      </c>
      <c r="Z139" s="234">
        <v>1.5910452109856268E-2</v>
      </c>
      <c r="AA139" s="234">
        <v>1.5910452109856268E-2</v>
      </c>
      <c r="AB139" s="234">
        <v>1.5910452109856268E-2</v>
      </c>
      <c r="AC139" s="234">
        <v>1.5910452109856268E-2</v>
      </c>
      <c r="AD139" s="234">
        <v>1.5910452109856268E-2</v>
      </c>
      <c r="AE139" s="234">
        <v>1.5910452109856268E-2</v>
      </c>
      <c r="AF139" s="234">
        <v>1.5913802570974491E-2</v>
      </c>
      <c r="AG139" s="234">
        <v>1.5913802570974491E-2</v>
      </c>
      <c r="AH139" s="234">
        <v>1.5913802570974491E-2</v>
      </c>
      <c r="AI139" s="234">
        <v>1.5913802570974491E-2</v>
      </c>
      <c r="AJ139" s="234">
        <v>1.5919048569847809E-2</v>
      </c>
      <c r="AK139" s="234">
        <v>1.594500307010336E-2</v>
      </c>
    </row>
    <row r="140" spans="1:59" ht="18" hidden="1" x14ac:dyDescent="0.35">
      <c r="B140" s="268" t="s">
        <v>1297</v>
      </c>
      <c r="C140" s="256" t="s">
        <v>1068</v>
      </c>
      <c r="D140" s="234">
        <v>0.16335324226383199</v>
      </c>
      <c r="E140" s="234">
        <v>0.16339135736975141</v>
      </c>
      <c r="F140" s="234">
        <v>0.16358437906568801</v>
      </c>
      <c r="G140" s="234">
        <v>0.1635965465179883</v>
      </c>
      <c r="H140" s="234">
        <v>0.1638112864701135</v>
      </c>
      <c r="I140" s="234">
        <v>0.16481485664271961</v>
      </c>
      <c r="J140" s="234">
        <v>0.16481485664271961</v>
      </c>
      <c r="K140" s="234">
        <v>0.16481485664271961</v>
      </c>
      <c r="L140" s="234">
        <v>0.16487139875635529</v>
      </c>
      <c r="M140" s="234">
        <v>0.17091883345736461</v>
      </c>
      <c r="N140" s="234">
        <v>0.17091883345736461</v>
      </c>
      <c r="O140" s="234">
        <v>0.17091883345736461</v>
      </c>
      <c r="P140" s="234">
        <v>0.17091883345736461</v>
      </c>
      <c r="Q140" s="234">
        <v>0.17091883345736461</v>
      </c>
      <c r="R140" s="234">
        <v>0.17091883345736461</v>
      </c>
      <c r="S140" s="234">
        <v>0.17091883345736461</v>
      </c>
      <c r="T140" s="234">
        <v>0.17091883345736461</v>
      </c>
      <c r="U140" s="234">
        <v>0.1709837211707109</v>
      </c>
      <c r="V140" s="234">
        <v>0.1731750187152355</v>
      </c>
      <c r="W140" s="234">
        <v>0.17642496343808359</v>
      </c>
      <c r="X140" s="234">
        <v>0.17643869773551649</v>
      </c>
      <c r="Y140" s="234">
        <v>0.1767828012206252</v>
      </c>
      <c r="Z140" s="234">
        <v>0.1767828012206252</v>
      </c>
      <c r="AA140" s="234">
        <v>0.1767828012206252</v>
      </c>
      <c r="AB140" s="234">
        <v>0.1767828012206252</v>
      </c>
      <c r="AC140" s="234">
        <v>0.1767828012206252</v>
      </c>
      <c r="AD140" s="234">
        <v>0.1767828012206252</v>
      </c>
      <c r="AE140" s="234">
        <v>0.1767828012206252</v>
      </c>
      <c r="AF140" s="234">
        <v>0.17682002856638321</v>
      </c>
      <c r="AG140" s="234">
        <v>0.17682002856638321</v>
      </c>
      <c r="AH140" s="234">
        <v>0.17682002856638321</v>
      </c>
      <c r="AI140" s="234">
        <v>0.17682002856638321</v>
      </c>
      <c r="AJ140" s="234">
        <v>0.17687831744275351</v>
      </c>
      <c r="AK140" s="234">
        <v>0.17716670077892621</v>
      </c>
    </row>
    <row r="141" spans="1:59" x14ac:dyDescent="0.25">
      <c r="B141" s="267" t="s">
        <v>1298</v>
      </c>
      <c r="C141" s="266" t="s">
        <v>535</v>
      </c>
      <c r="D141" s="234">
        <v>8.7348058798143256E-3</v>
      </c>
      <c r="E141" s="234">
        <v>8.7348058798143256E-3</v>
      </c>
      <c r="F141" s="234">
        <v>8.7348058798143256E-3</v>
      </c>
      <c r="G141" s="234">
        <v>8.7348058798143256E-3</v>
      </c>
      <c r="H141" s="234">
        <v>8.7348058798143256E-3</v>
      </c>
      <c r="I141" s="234">
        <v>8.7348058798143256E-3</v>
      </c>
      <c r="J141" s="234">
        <v>8.7348058798143256E-3</v>
      </c>
      <c r="K141" s="234">
        <v>8.7348058798143256E-3</v>
      </c>
      <c r="L141" s="234">
        <v>8.7348058798143256E-3</v>
      </c>
      <c r="M141" s="234">
        <v>8.7348058798143256E-3</v>
      </c>
      <c r="N141" s="234">
        <v>8.7348058798143256E-3</v>
      </c>
      <c r="O141" s="234">
        <v>8.7348058798143256E-3</v>
      </c>
      <c r="P141" s="234">
        <v>8.7348058798143256E-3</v>
      </c>
      <c r="Q141" s="234">
        <v>8.7348058798143256E-3</v>
      </c>
      <c r="R141" s="234">
        <v>8.7348058798143256E-3</v>
      </c>
      <c r="S141" s="234">
        <v>8.7348058798143256E-3</v>
      </c>
      <c r="T141" s="234">
        <v>8.7348058798143256E-3</v>
      </c>
      <c r="U141" s="234">
        <v>8.7348058798143256E-3</v>
      </c>
      <c r="V141" s="234">
        <v>8.7348058798143256E-3</v>
      </c>
      <c r="W141" s="234">
        <v>8.7348058798143256E-3</v>
      </c>
      <c r="X141" s="234">
        <v>8.7348058798143256E-3</v>
      </c>
      <c r="Y141" s="234">
        <v>8.7348058798143256E-3</v>
      </c>
      <c r="Z141" s="234">
        <v>8.7348058798143256E-3</v>
      </c>
      <c r="AA141" s="234">
        <v>8.7348058798143256E-3</v>
      </c>
      <c r="AB141" s="234">
        <v>8.7348058798143256E-3</v>
      </c>
      <c r="AC141" s="234">
        <v>8.7348058798143256E-3</v>
      </c>
      <c r="AD141" s="234">
        <v>8.7348058798143256E-3</v>
      </c>
      <c r="AE141" s="234">
        <v>8.7348058798143256E-3</v>
      </c>
      <c r="AF141" s="234">
        <v>8.7348058798143256E-3</v>
      </c>
      <c r="AG141" s="234">
        <v>8.7348058798143256E-3</v>
      </c>
      <c r="AH141" s="234">
        <v>8.7348058798143256E-3</v>
      </c>
      <c r="AI141" s="234">
        <v>8.7348058798143256E-3</v>
      </c>
      <c r="AJ141" s="234">
        <v>8.7348058798143256E-3</v>
      </c>
      <c r="AK141" s="234">
        <v>8.7348058798143256E-3</v>
      </c>
    </row>
    <row r="142" spans="1:59" ht="18" hidden="1" x14ac:dyDescent="0.35">
      <c r="B142" s="268" t="s">
        <v>1296</v>
      </c>
      <c r="C142" s="256" t="s">
        <v>1068</v>
      </c>
      <c r="D142" s="234">
        <v>0</v>
      </c>
      <c r="E142" s="234">
        <v>0</v>
      </c>
      <c r="F142" s="234">
        <v>0</v>
      </c>
      <c r="G142" s="234">
        <v>0</v>
      </c>
      <c r="H142" s="234">
        <v>0</v>
      </c>
      <c r="I142" s="234">
        <v>0</v>
      </c>
      <c r="J142" s="234">
        <v>0</v>
      </c>
      <c r="K142" s="234">
        <v>0</v>
      </c>
      <c r="L142" s="234">
        <v>0</v>
      </c>
      <c r="M142" s="234">
        <v>0</v>
      </c>
      <c r="N142" s="234">
        <v>0</v>
      </c>
      <c r="O142" s="234">
        <v>0</v>
      </c>
      <c r="P142" s="234">
        <v>0</v>
      </c>
      <c r="Q142" s="234">
        <v>0</v>
      </c>
      <c r="R142" s="234">
        <v>0</v>
      </c>
      <c r="S142" s="234">
        <v>0</v>
      </c>
      <c r="T142" s="234">
        <v>0</v>
      </c>
      <c r="U142" s="234">
        <v>0</v>
      </c>
      <c r="V142" s="234">
        <v>0</v>
      </c>
      <c r="W142" s="234">
        <v>0</v>
      </c>
      <c r="X142" s="234">
        <v>0</v>
      </c>
      <c r="Y142" s="234">
        <v>0</v>
      </c>
      <c r="Z142" s="234">
        <v>0</v>
      </c>
      <c r="AA142" s="234">
        <v>0</v>
      </c>
      <c r="AB142" s="234">
        <v>0</v>
      </c>
      <c r="AC142" s="234">
        <v>0</v>
      </c>
      <c r="AD142" s="234">
        <v>0</v>
      </c>
      <c r="AE142" s="234">
        <v>0</v>
      </c>
      <c r="AF142" s="234">
        <v>0</v>
      </c>
      <c r="AG142" s="234">
        <v>0</v>
      </c>
      <c r="AH142" s="234">
        <v>0</v>
      </c>
      <c r="AI142" s="234">
        <v>0</v>
      </c>
      <c r="AJ142" s="234">
        <v>0</v>
      </c>
      <c r="AK142" s="234">
        <v>0</v>
      </c>
    </row>
    <row r="143" spans="1:59" ht="18" hidden="1" x14ac:dyDescent="0.35">
      <c r="B143" s="268" t="s">
        <v>1297</v>
      </c>
      <c r="C143" s="256" t="s">
        <v>1068</v>
      </c>
      <c r="D143" s="234">
        <v>8.7348058798143256E-3</v>
      </c>
      <c r="E143" s="234">
        <v>8.7348058798143256E-3</v>
      </c>
      <c r="F143" s="234">
        <v>8.7348058798143256E-3</v>
      </c>
      <c r="G143" s="234">
        <v>8.7348058798143256E-3</v>
      </c>
      <c r="H143" s="234">
        <v>8.7348058798143256E-3</v>
      </c>
      <c r="I143" s="234">
        <v>8.7348058798143256E-3</v>
      </c>
      <c r="J143" s="234">
        <v>8.7348058798143256E-3</v>
      </c>
      <c r="K143" s="234">
        <v>8.7348058798143256E-3</v>
      </c>
      <c r="L143" s="234">
        <v>8.7348058798143256E-3</v>
      </c>
      <c r="M143" s="234">
        <v>8.7348058798143256E-3</v>
      </c>
      <c r="N143" s="234">
        <v>8.7348058798143256E-3</v>
      </c>
      <c r="O143" s="234">
        <v>8.7348058798143256E-3</v>
      </c>
      <c r="P143" s="234">
        <v>8.7348058798143256E-3</v>
      </c>
      <c r="Q143" s="234">
        <v>8.7348058798143256E-3</v>
      </c>
      <c r="R143" s="234">
        <v>8.7348058798143256E-3</v>
      </c>
      <c r="S143" s="234">
        <v>8.7348058798143256E-3</v>
      </c>
      <c r="T143" s="234">
        <v>8.7348058798143256E-3</v>
      </c>
      <c r="U143" s="234">
        <v>8.7348058798143256E-3</v>
      </c>
      <c r="V143" s="234">
        <v>8.7348058798143256E-3</v>
      </c>
      <c r="W143" s="234">
        <v>8.7348058798143256E-3</v>
      </c>
      <c r="X143" s="234">
        <v>8.7348058798143256E-3</v>
      </c>
      <c r="Y143" s="234">
        <v>8.7348058798143256E-3</v>
      </c>
      <c r="Z143" s="234">
        <v>8.7348058798143256E-3</v>
      </c>
      <c r="AA143" s="234">
        <v>8.7348058798143256E-3</v>
      </c>
      <c r="AB143" s="234">
        <v>8.7348058798143256E-3</v>
      </c>
      <c r="AC143" s="234">
        <v>8.7348058798143256E-3</v>
      </c>
      <c r="AD143" s="234">
        <v>8.7348058798143256E-3</v>
      </c>
      <c r="AE143" s="234">
        <v>8.7348058798143256E-3</v>
      </c>
      <c r="AF143" s="234">
        <v>8.7348058798143256E-3</v>
      </c>
      <c r="AG143" s="234">
        <v>8.7348058798143256E-3</v>
      </c>
      <c r="AH143" s="234">
        <v>8.7348058798143256E-3</v>
      </c>
      <c r="AI143" s="234">
        <v>8.7348058798143256E-3</v>
      </c>
      <c r="AJ143" s="234">
        <v>8.7348058798143256E-3</v>
      </c>
      <c r="AK143" s="234">
        <v>8.7348058798143256E-3</v>
      </c>
    </row>
    <row r="144" spans="1:59" x14ac:dyDescent="0.25">
      <c r="B144" s="267" t="s">
        <v>1299</v>
      </c>
      <c r="C144" s="266" t="s">
        <v>535</v>
      </c>
      <c r="D144" s="234">
        <v>5.7398264811148063E-2</v>
      </c>
      <c r="E144" s="234">
        <v>5.7414138880494618E-2</v>
      </c>
      <c r="F144" s="234">
        <v>5.7429375228243359E-2</v>
      </c>
      <c r="G144" s="234">
        <v>5.7429375228243359E-2</v>
      </c>
      <c r="H144" s="234">
        <v>5.7431538582473511E-2</v>
      </c>
      <c r="I144" s="234">
        <v>5.7431538582473511E-2</v>
      </c>
      <c r="J144" s="234">
        <v>5.7432784743507742E-2</v>
      </c>
      <c r="K144" s="234">
        <v>5.7432784743507742E-2</v>
      </c>
      <c r="L144" s="234">
        <v>5.7435519456919631E-2</v>
      </c>
      <c r="M144" s="234">
        <v>5.7436009038175452E-2</v>
      </c>
      <c r="N144" s="234">
        <v>5.7436009038175452E-2</v>
      </c>
      <c r="O144" s="234">
        <v>5.7464340593396383E-2</v>
      </c>
      <c r="P144" s="234">
        <v>5.7520182756863623E-2</v>
      </c>
      <c r="Q144" s="234">
        <v>5.7520182756863623E-2</v>
      </c>
      <c r="R144" s="234">
        <v>5.7520182756863623E-2</v>
      </c>
      <c r="S144" s="234">
        <v>5.7520182756863623E-2</v>
      </c>
      <c r="T144" s="234">
        <v>5.7521585443323087E-2</v>
      </c>
      <c r="U144" s="234">
        <v>5.7521585443323087E-2</v>
      </c>
      <c r="V144" s="234">
        <v>5.7521585443323087E-2</v>
      </c>
      <c r="W144" s="234">
        <v>5.7521585443323087E-2</v>
      </c>
      <c r="X144" s="234">
        <v>5.7521585443323087E-2</v>
      </c>
      <c r="Y144" s="234">
        <v>5.7536538452442353E-2</v>
      </c>
      <c r="Z144" s="234">
        <v>5.7536538452442353E-2</v>
      </c>
      <c r="AA144" s="234">
        <v>5.7565339141309527E-2</v>
      </c>
      <c r="AB144" s="234">
        <v>5.7579633742372627E-2</v>
      </c>
      <c r="AC144" s="234">
        <v>5.7615711167752832E-2</v>
      </c>
      <c r="AD144" s="234">
        <v>5.7622656333933153E-2</v>
      </c>
      <c r="AE144" s="234">
        <v>5.7622656333933153E-2</v>
      </c>
      <c r="AF144" s="234">
        <v>5.7639168179824923E-2</v>
      </c>
      <c r="AG144" s="234">
        <v>5.7651038062470017E-2</v>
      </c>
      <c r="AH144" s="234">
        <v>5.7651038062470017E-2</v>
      </c>
      <c r="AI144" s="234">
        <v>5.7666262310546119E-2</v>
      </c>
      <c r="AJ144" s="234">
        <v>5.7685687878234498E-2</v>
      </c>
      <c r="AK144" s="234">
        <v>5.7694375970358869E-2</v>
      </c>
    </row>
    <row r="145" spans="2:48" ht="18" hidden="1" x14ac:dyDescent="0.35">
      <c r="B145" s="268" t="s">
        <v>1296</v>
      </c>
      <c r="C145" s="256" t="s">
        <v>1068</v>
      </c>
      <c r="D145" s="234">
        <v>0</v>
      </c>
      <c r="E145" s="234">
        <v>0</v>
      </c>
      <c r="F145" s="234">
        <v>0</v>
      </c>
      <c r="G145" s="234">
        <v>0</v>
      </c>
      <c r="H145" s="234">
        <v>0</v>
      </c>
      <c r="I145" s="234">
        <v>0</v>
      </c>
      <c r="J145" s="234">
        <v>0</v>
      </c>
      <c r="K145" s="234">
        <v>0</v>
      </c>
      <c r="L145" s="234">
        <v>0</v>
      </c>
      <c r="M145" s="234">
        <v>0</v>
      </c>
      <c r="N145" s="234">
        <v>0</v>
      </c>
      <c r="O145" s="234">
        <v>0</v>
      </c>
      <c r="P145" s="234">
        <v>0</v>
      </c>
      <c r="Q145" s="234">
        <v>0</v>
      </c>
      <c r="R145" s="234">
        <v>0</v>
      </c>
      <c r="S145" s="234">
        <v>0</v>
      </c>
      <c r="T145" s="234">
        <v>0</v>
      </c>
      <c r="U145" s="234">
        <v>0</v>
      </c>
      <c r="V145" s="234">
        <v>0</v>
      </c>
      <c r="W145" s="234">
        <v>0</v>
      </c>
      <c r="X145" s="234">
        <v>0</v>
      </c>
      <c r="Y145" s="234">
        <v>0</v>
      </c>
      <c r="Z145" s="234">
        <v>0</v>
      </c>
      <c r="AA145" s="234">
        <v>0</v>
      </c>
      <c r="AB145" s="234">
        <v>0</v>
      </c>
      <c r="AC145" s="234">
        <v>0</v>
      </c>
      <c r="AD145" s="234">
        <v>0</v>
      </c>
      <c r="AE145" s="234">
        <v>0</v>
      </c>
      <c r="AF145" s="234">
        <v>0</v>
      </c>
      <c r="AG145" s="234">
        <v>0</v>
      </c>
      <c r="AH145" s="234">
        <v>0</v>
      </c>
      <c r="AI145" s="234">
        <v>0</v>
      </c>
      <c r="AJ145" s="234">
        <v>0</v>
      </c>
      <c r="AK145" s="234">
        <v>0</v>
      </c>
    </row>
    <row r="146" spans="2:48" ht="18" hidden="1" x14ac:dyDescent="0.35">
      <c r="B146" s="268" t="s">
        <v>1297</v>
      </c>
      <c r="C146" s="256" t="s">
        <v>1068</v>
      </c>
      <c r="D146" s="234">
        <v>5.7398264811148063E-2</v>
      </c>
      <c r="E146" s="234">
        <v>5.7414138880494618E-2</v>
      </c>
      <c r="F146" s="234">
        <v>5.7429375228243359E-2</v>
      </c>
      <c r="G146" s="234">
        <v>5.7429375228243359E-2</v>
      </c>
      <c r="H146" s="234">
        <v>5.7431538582473511E-2</v>
      </c>
      <c r="I146" s="234">
        <v>5.7431538582473511E-2</v>
      </c>
      <c r="J146" s="234">
        <v>5.7432784743507742E-2</v>
      </c>
      <c r="K146" s="234">
        <v>5.7432784743507742E-2</v>
      </c>
      <c r="L146" s="234">
        <v>5.7435519456919631E-2</v>
      </c>
      <c r="M146" s="234">
        <v>5.7436009038175452E-2</v>
      </c>
      <c r="N146" s="234">
        <v>5.7436009038175452E-2</v>
      </c>
      <c r="O146" s="234">
        <v>5.7464340593396383E-2</v>
      </c>
      <c r="P146" s="234">
        <v>5.7520182756863623E-2</v>
      </c>
      <c r="Q146" s="234">
        <v>5.7520182756863623E-2</v>
      </c>
      <c r="R146" s="234">
        <v>5.7520182756863623E-2</v>
      </c>
      <c r="S146" s="234">
        <v>5.7520182756863623E-2</v>
      </c>
      <c r="T146" s="234">
        <v>5.7521585443323087E-2</v>
      </c>
      <c r="U146" s="234">
        <v>5.7521585443323087E-2</v>
      </c>
      <c r="V146" s="234">
        <v>5.7521585443323087E-2</v>
      </c>
      <c r="W146" s="234">
        <v>5.7521585443323087E-2</v>
      </c>
      <c r="X146" s="234">
        <v>5.7521585443323087E-2</v>
      </c>
      <c r="Y146" s="234">
        <v>5.7536538452442353E-2</v>
      </c>
      <c r="Z146" s="234">
        <v>5.7536538452442353E-2</v>
      </c>
      <c r="AA146" s="234">
        <v>5.7565339141309527E-2</v>
      </c>
      <c r="AB146" s="234">
        <v>5.7579633742372627E-2</v>
      </c>
      <c r="AC146" s="234">
        <v>5.7615711167752832E-2</v>
      </c>
      <c r="AD146" s="234">
        <v>5.7622656333933153E-2</v>
      </c>
      <c r="AE146" s="234">
        <v>5.7622656333933153E-2</v>
      </c>
      <c r="AF146" s="234">
        <v>5.7639168179824923E-2</v>
      </c>
      <c r="AG146" s="234">
        <v>5.7651038062470017E-2</v>
      </c>
      <c r="AH146" s="234">
        <v>5.7651038062470017E-2</v>
      </c>
      <c r="AI146" s="234">
        <v>5.7666262310546119E-2</v>
      </c>
      <c r="AJ146" s="234">
        <v>5.7685687878234498E-2</v>
      </c>
      <c r="AK146" s="234">
        <v>5.7694375970358869E-2</v>
      </c>
    </row>
    <row r="147" spans="2:48" x14ac:dyDescent="0.25">
      <c r="B147" s="254" t="s">
        <v>1300</v>
      </c>
      <c r="C147" s="254" t="s">
        <v>535</v>
      </c>
      <c r="D147" s="233">
        <v>3.9395220174270107E-2</v>
      </c>
      <c r="E147" s="233">
        <v>4.0228007818664722E-2</v>
      </c>
      <c r="F147" s="233">
        <v>3.9640978903929119E-2</v>
      </c>
      <c r="G147" s="233">
        <v>3.9653916306189613E-2</v>
      </c>
      <c r="H147" s="233">
        <v>3.9060602266444824E-2</v>
      </c>
      <c r="I147" s="233">
        <v>3.4924847538651625E-2</v>
      </c>
      <c r="J147" s="233">
        <v>3.493409985847399E-2</v>
      </c>
      <c r="K147" s="233">
        <v>3.493409985847399E-2</v>
      </c>
      <c r="L147" s="233">
        <v>3.4908852736500066E-2</v>
      </c>
      <c r="M147" s="233">
        <v>1.7468130018026062E-2</v>
      </c>
      <c r="N147" s="233">
        <v>1.7468130018026062E-2</v>
      </c>
      <c r="O147" s="233">
        <v>1.7452863810897168E-2</v>
      </c>
      <c r="P147" s="233">
        <v>1.756766674459494E-2</v>
      </c>
      <c r="Q147" s="233">
        <v>1.8419820529102071E-2</v>
      </c>
      <c r="R147" s="233">
        <v>1.8419820529102071E-2</v>
      </c>
      <c r="S147" s="233">
        <v>1.8419820529102071E-2</v>
      </c>
      <c r="T147" s="233">
        <v>1.8434032631744219E-2</v>
      </c>
      <c r="U147" s="233">
        <v>1.828673342889487E-2</v>
      </c>
      <c r="V147" s="233">
        <v>1.1957919816603305E-2</v>
      </c>
      <c r="W147" s="233">
        <v>4.0337631562696744E-3</v>
      </c>
      <c r="X147" s="233">
        <v>4.0367490891624596E-3</v>
      </c>
      <c r="Y147" s="233">
        <v>3.0170566551644112E-3</v>
      </c>
      <c r="Z147" s="233">
        <v>3.0170566551644112E-3</v>
      </c>
      <c r="AA147" s="233">
        <v>2.9532199994862988E-3</v>
      </c>
      <c r="AB147" s="233">
        <v>2.9215360515666552E-3</v>
      </c>
      <c r="AC147" s="233">
        <v>2.8591257669120626E-3</v>
      </c>
      <c r="AD147" s="233">
        <v>2.8471113342378842E-3</v>
      </c>
      <c r="AE147" s="233">
        <v>2.8471113342378842E-3</v>
      </c>
      <c r="AF147" s="233">
        <v>2.702994410829971E-3</v>
      </c>
      <c r="AG147" s="233">
        <v>2.6766848452898931E-3</v>
      </c>
      <c r="AH147" s="233">
        <v>2.6766848452898931E-3</v>
      </c>
      <c r="AI147" s="233">
        <v>2.6429403370638962E-3</v>
      </c>
      <c r="AJ147" s="233">
        <v>2.431536127610108E-3</v>
      </c>
      <c r="AK147" s="233">
        <v>1.5793823431030248E-3</v>
      </c>
    </row>
    <row r="148" spans="2:48" x14ac:dyDescent="0.25">
      <c r="B148" s="267" t="s">
        <v>1295</v>
      </c>
      <c r="C148" s="266" t="s">
        <v>535</v>
      </c>
      <c r="D148" s="234">
        <v>3.9175465573088861E-2</v>
      </c>
      <c r="E148" s="234">
        <v>4.0009846558204526E-2</v>
      </c>
      <c r="F148" s="234">
        <v>3.945236939598018E-2</v>
      </c>
      <c r="G148" s="234">
        <v>3.9401470142562567E-2</v>
      </c>
      <c r="H148" s="234">
        <v>3.8781267224201423E-2</v>
      </c>
      <c r="I148" s="234">
        <v>3.4583102211753633E-2</v>
      </c>
      <c r="J148" s="234">
        <v>3.4583102211753633E-2</v>
      </c>
      <c r="K148" s="234">
        <v>3.4583102211753633E-2</v>
      </c>
      <c r="L148" s="234">
        <v>3.4527318109695442E-2</v>
      </c>
      <c r="M148" s="234">
        <v>1.7061370981324545E-2</v>
      </c>
      <c r="N148" s="234">
        <v>1.7061370981324545E-2</v>
      </c>
      <c r="O148" s="234">
        <v>1.7061370981324545E-2</v>
      </c>
      <c r="P148" s="234">
        <v>1.7229718468017557E-2</v>
      </c>
      <c r="Q148" s="234">
        <v>1.8062615117808246E-2</v>
      </c>
      <c r="R148" s="234">
        <v>1.8062615117808246E-2</v>
      </c>
      <c r="S148" s="234">
        <v>1.8062615117808246E-2</v>
      </c>
      <c r="T148" s="234">
        <v>1.8062615117808246E-2</v>
      </c>
      <c r="U148" s="234">
        <v>1.7875209147075719E-2</v>
      </c>
      <c r="V148" s="234">
        <v>1.1546395534784155E-2</v>
      </c>
      <c r="W148" s="234">
        <v>3.6222388744505249E-3</v>
      </c>
      <c r="X148" s="234">
        <v>3.5647851472205231E-3</v>
      </c>
      <c r="Y148" s="234">
        <v>2.5709599015193239E-3</v>
      </c>
      <c r="Z148" s="234">
        <v>2.5709599015193239E-3</v>
      </c>
      <c r="AA148" s="234">
        <v>2.5709599015193239E-3</v>
      </c>
      <c r="AB148" s="234">
        <v>2.5709599015193239E-3</v>
      </c>
      <c r="AC148" s="234">
        <v>2.5709599015193239E-3</v>
      </c>
      <c r="AD148" s="234">
        <v>2.5709599015193239E-3</v>
      </c>
      <c r="AE148" s="234">
        <v>2.5709599015193239E-3</v>
      </c>
      <c r="AF148" s="234">
        <v>2.4634414437128467E-3</v>
      </c>
      <c r="AG148" s="234">
        <v>2.4634414437128467E-3</v>
      </c>
      <c r="AH148" s="234">
        <v>2.4634414437128467E-3</v>
      </c>
      <c r="AI148" s="234">
        <v>2.4634414437128467E-3</v>
      </c>
      <c r="AJ148" s="234">
        <v>2.2950939570198338E-3</v>
      </c>
      <c r="AK148" s="234">
        <v>1.4621973072291904E-3</v>
      </c>
    </row>
    <row r="149" spans="2:48" ht="18" hidden="1" x14ac:dyDescent="0.35">
      <c r="B149" s="268" t="s">
        <v>535</v>
      </c>
      <c r="C149" s="256" t="s">
        <v>1077</v>
      </c>
      <c r="D149" s="234">
        <v>2.0370389386991161E-2</v>
      </c>
      <c r="E149" s="234">
        <v>2.0783757341609841E-2</v>
      </c>
      <c r="F149" s="234">
        <v>2.0498997195027981E-2</v>
      </c>
      <c r="G149" s="234">
        <v>2.046890045454967E-2</v>
      </c>
      <c r="H149" s="234">
        <v>2.0152099900355949E-2</v>
      </c>
      <c r="I149" s="234">
        <v>1.766972394430652E-2</v>
      </c>
      <c r="J149" s="234">
        <v>1.766972394430652E-2</v>
      </c>
      <c r="K149" s="234">
        <v>1.766972394430652E-2</v>
      </c>
      <c r="L149" s="234">
        <v>1.7641229343710419E-2</v>
      </c>
      <c r="M149" s="234">
        <v>8.7195981066187905E-3</v>
      </c>
      <c r="N149" s="234">
        <v>8.7195981066187905E-3</v>
      </c>
      <c r="O149" s="234">
        <v>8.7195981066187905E-3</v>
      </c>
      <c r="P149" s="234">
        <v>8.8055902480656499E-3</v>
      </c>
      <c r="Q149" s="234">
        <v>9.2310350701200663E-3</v>
      </c>
      <c r="R149" s="234">
        <v>9.2310350701200663E-3</v>
      </c>
      <c r="S149" s="234">
        <v>9.2310350701200663E-3</v>
      </c>
      <c r="T149" s="234">
        <v>9.2310350701200663E-3</v>
      </c>
      <c r="U149" s="234">
        <v>9.1353078272619365E-3</v>
      </c>
      <c r="V149" s="234">
        <v>5.9025406144587664E-3</v>
      </c>
      <c r="W149" s="234">
        <v>1.8548698486630689E-3</v>
      </c>
      <c r="X149" s="234">
        <v>1.8208974462829109E-3</v>
      </c>
      <c r="Y149" s="234">
        <v>1.313250063000977E-3</v>
      </c>
      <c r="Z149" s="234">
        <v>1.313250063000977E-3</v>
      </c>
      <c r="AA149" s="234">
        <v>1.313250063000977E-3</v>
      </c>
      <c r="AB149" s="234">
        <v>1.313250063000977E-3</v>
      </c>
      <c r="AC149" s="234">
        <v>1.313250063000977E-3</v>
      </c>
      <c r="AD149" s="234">
        <v>1.313250063000977E-3</v>
      </c>
      <c r="AE149" s="234">
        <v>1.313250063000977E-3</v>
      </c>
      <c r="AF149" s="234">
        <v>1.258329478123445E-3</v>
      </c>
      <c r="AG149" s="234">
        <v>1.258329478123445E-3</v>
      </c>
      <c r="AH149" s="234">
        <v>1.258329478123445E-3</v>
      </c>
      <c r="AI149" s="234">
        <v>1.258329478123445E-3</v>
      </c>
      <c r="AJ149" s="234">
        <v>1.1723373366765849E-3</v>
      </c>
      <c r="AK149" s="234">
        <v>7.4689251462219304E-4</v>
      </c>
    </row>
    <row r="150" spans="2:48" ht="18" hidden="1" x14ac:dyDescent="0.35">
      <c r="B150" s="268" t="s">
        <v>1296</v>
      </c>
      <c r="C150" s="256" t="s">
        <v>1068</v>
      </c>
      <c r="D150" s="234">
        <v>1.552712712613572E-3</v>
      </c>
      <c r="E150" s="234">
        <v>1.5874752564160751E-3</v>
      </c>
      <c r="F150" s="234">
        <v>1.5649573376933009E-3</v>
      </c>
      <c r="G150" s="234">
        <v>1.56323969901024E-3</v>
      </c>
      <c r="H150" s="234">
        <v>1.5381881276569651E-3</v>
      </c>
      <c r="I150" s="234">
        <v>1.3965174716240739E-3</v>
      </c>
      <c r="J150" s="234">
        <v>1.3965174716240739E-3</v>
      </c>
      <c r="K150" s="234">
        <v>1.3965174716240739E-3</v>
      </c>
      <c r="L150" s="234">
        <v>1.39426421003546E-3</v>
      </c>
      <c r="M150" s="234">
        <v>6.8877023736102548E-4</v>
      </c>
      <c r="N150" s="234">
        <v>6.8877023736102548E-4</v>
      </c>
      <c r="O150" s="234">
        <v>6.8877023736102548E-4</v>
      </c>
      <c r="P150" s="234">
        <v>6.9557021999602884E-4</v>
      </c>
      <c r="Q150" s="234">
        <v>7.2921303146049202E-4</v>
      </c>
      <c r="R150" s="234">
        <v>7.2921303146049202E-4</v>
      </c>
      <c r="S150" s="234">
        <v>7.2921303146049202E-4</v>
      </c>
      <c r="T150" s="234">
        <v>7.2921303146049202E-4</v>
      </c>
      <c r="U150" s="234">
        <v>7.2164322824150491E-4</v>
      </c>
      <c r="V150" s="234">
        <v>4.6600636956815129E-4</v>
      </c>
      <c r="W150" s="234">
        <v>1.4592955258795501E-4</v>
      </c>
      <c r="X150" s="234">
        <v>1.4399072760035329E-4</v>
      </c>
      <c r="Y150" s="234">
        <v>1.038476013455516E-4</v>
      </c>
      <c r="Z150" s="234">
        <v>1.038476013455516E-4</v>
      </c>
      <c r="AA150" s="234">
        <v>1.038476013455516E-4</v>
      </c>
      <c r="AB150" s="234">
        <v>1.038476013455516E-4</v>
      </c>
      <c r="AC150" s="234">
        <v>1.038476013455516E-4</v>
      </c>
      <c r="AD150" s="234">
        <v>1.038476013455516E-4</v>
      </c>
      <c r="AE150" s="234">
        <v>1.038476013455516E-4</v>
      </c>
      <c r="AF150" s="234">
        <v>9.9504657709216653E-5</v>
      </c>
      <c r="AG150" s="234">
        <v>9.9504657709216653E-5</v>
      </c>
      <c r="AH150" s="234">
        <v>9.9504657709216653E-5</v>
      </c>
      <c r="AI150" s="234">
        <v>9.9504657709216653E-5</v>
      </c>
      <c r="AJ150" s="234">
        <v>9.2704675074213231E-5</v>
      </c>
      <c r="AK150" s="234">
        <v>5.906186360975208E-5</v>
      </c>
    </row>
    <row r="151" spans="2:48" ht="18" hidden="1" x14ac:dyDescent="0.35">
      <c r="B151" s="268" t="s">
        <v>1297</v>
      </c>
      <c r="C151" s="256" t="s">
        <v>1068</v>
      </c>
      <c r="D151" s="234">
        <v>1.725236347348413E-2</v>
      </c>
      <c r="E151" s="234">
        <v>1.7638613960178611E-2</v>
      </c>
      <c r="F151" s="234">
        <v>1.73884148632589E-2</v>
      </c>
      <c r="G151" s="234">
        <v>1.736932998900266E-2</v>
      </c>
      <c r="H151" s="234">
        <v>1.7090979196188509E-2</v>
      </c>
      <c r="I151" s="234">
        <v>1.551686079582304E-2</v>
      </c>
      <c r="J151" s="234">
        <v>1.551686079582304E-2</v>
      </c>
      <c r="K151" s="234">
        <v>1.551686079582304E-2</v>
      </c>
      <c r="L151" s="234">
        <v>1.549182455594956E-2</v>
      </c>
      <c r="M151" s="234">
        <v>7.6530026373447298E-3</v>
      </c>
      <c r="N151" s="234">
        <v>7.6530026373447298E-3</v>
      </c>
      <c r="O151" s="234">
        <v>7.6530026373447298E-3</v>
      </c>
      <c r="P151" s="234">
        <v>7.7285579999558773E-3</v>
      </c>
      <c r="Q151" s="234">
        <v>8.1023670162276903E-3</v>
      </c>
      <c r="R151" s="234">
        <v>8.1023670162276903E-3</v>
      </c>
      <c r="S151" s="234">
        <v>8.1023670162276903E-3</v>
      </c>
      <c r="T151" s="234">
        <v>8.1023670162276903E-3</v>
      </c>
      <c r="U151" s="234">
        <v>8.0182580915722779E-3</v>
      </c>
      <c r="V151" s="234">
        <v>5.1778485507572372E-3</v>
      </c>
      <c r="W151" s="234">
        <v>1.621439473199501E-3</v>
      </c>
      <c r="X151" s="234">
        <v>1.5998969733372591E-3</v>
      </c>
      <c r="Y151" s="234">
        <v>1.1538622371727949E-3</v>
      </c>
      <c r="Z151" s="234">
        <v>1.1538622371727949E-3</v>
      </c>
      <c r="AA151" s="234">
        <v>1.1538622371727949E-3</v>
      </c>
      <c r="AB151" s="234">
        <v>1.1538622371727949E-3</v>
      </c>
      <c r="AC151" s="234">
        <v>1.1538622371727949E-3</v>
      </c>
      <c r="AD151" s="234">
        <v>1.1538622371727949E-3</v>
      </c>
      <c r="AE151" s="234">
        <v>1.1538622371727949E-3</v>
      </c>
      <c r="AF151" s="234">
        <v>1.1056073078801851E-3</v>
      </c>
      <c r="AG151" s="234">
        <v>1.1056073078801851E-3</v>
      </c>
      <c r="AH151" s="234">
        <v>1.1056073078801851E-3</v>
      </c>
      <c r="AI151" s="234">
        <v>1.1056073078801851E-3</v>
      </c>
      <c r="AJ151" s="234">
        <v>1.0300519452690359E-3</v>
      </c>
      <c r="AK151" s="234">
        <v>6.5624292899724526E-4</v>
      </c>
    </row>
    <row r="152" spans="2:48" x14ac:dyDescent="0.25">
      <c r="B152" s="267" t="s">
        <v>1299</v>
      </c>
      <c r="C152" s="266" t="s">
        <v>535</v>
      </c>
      <c r="D152" s="234">
        <v>2.1975460118124897E-4</v>
      </c>
      <c r="E152" s="234">
        <v>2.1816126046019478E-4</v>
      </c>
      <c r="F152" s="234">
        <v>1.8860950794893618E-4</v>
      </c>
      <c r="G152" s="234">
        <v>2.524461636270483E-4</v>
      </c>
      <c r="H152" s="234">
        <v>2.7933504224339939E-4</v>
      </c>
      <c r="I152" s="234">
        <v>3.4174532689799171E-4</v>
      </c>
      <c r="J152" s="234">
        <v>3.5099764672035406E-4</v>
      </c>
      <c r="K152" s="234">
        <v>3.5099764672035406E-4</v>
      </c>
      <c r="L152" s="234">
        <v>3.8153462680462252E-4</v>
      </c>
      <c r="M152" s="234">
        <v>4.0675903670151707E-4</v>
      </c>
      <c r="N152" s="234">
        <v>4.0675903670151707E-4</v>
      </c>
      <c r="O152" s="234">
        <v>3.9149282957262133E-4</v>
      </c>
      <c r="P152" s="234">
        <v>3.3794827657738412E-4</v>
      </c>
      <c r="Q152" s="234">
        <v>3.5720541129382428E-4</v>
      </c>
      <c r="R152" s="234">
        <v>3.5720541129382428E-4</v>
      </c>
      <c r="S152" s="234">
        <v>3.5720541129382428E-4</v>
      </c>
      <c r="T152" s="234">
        <v>3.7141751393597394E-4</v>
      </c>
      <c r="U152" s="234">
        <v>4.115242818191498E-4</v>
      </c>
      <c r="V152" s="234">
        <v>4.115242818191498E-4</v>
      </c>
      <c r="W152" s="234">
        <v>4.115242818191498E-4</v>
      </c>
      <c r="X152" s="234">
        <v>4.7196394194193639E-4</v>
      </c>
      <c r="Y152" s="234">
        <v>4.4609675364508719E-4</v>
      </c>
      <c r="Z152" s="234">
        <v>4.4609675364508719E-4</v>
      </c>
      <c r="AA152" s="234">
        <v>3.8226009796697507E-4</v>
      </c>
      <c r="AB152" s="234">
        <v>3.505761500473314E-4</v>
      </c>
      <c r="AC152" s="234">
        <v>2.8816586539273875E-4</v>
      </c>
      <c r="AD152" s="234">
        <v>2.7615143271856018E-4</v>
      </c>
      <c r="AE152" s="234">
        <v>2.7615143271856018E-4</v>
      </c>
      <c r="AF152" s="234">
        <v>2.395529671171241E-4</v>
      </c>
      <c r="AG152" s="234">
        <v>2.1324340157704669E-4</v>
      </c>
      <c r="AH152" s="234">
        <v>2.1324340157704669E-4</v>
      </c>
      <c r="AI152" s="234">
        <v>1.7949889335104971E-4</v>
      </c>
      <c r="AJ152" s="234">
        <v>1.3644217059027429E-4</v>
      </c>
      <c r="AK152" s="234">
        <v>1.1718503587383432E-4</v>
      </c>
    </row>
    <row r="153" spans="2:48" ht="18" hidden="1" x14ac:dyDescent="0.35">
      <c r="B153" s="268" t="s">
        <v>535</v>
      </c>
      <c r="C153" s="256" t="s">
        <v>1077</v>
      </c>
      <c r="D153" s="234">
        <v>9.6433969006202769E-5</v>
      </c>
      <c r="E153" s="234">
        <v>9.5761688512436687E-5</v>
      </c>
      <c r="F153" s="234">
        <v>8.1446283749958269E-5</v>
      </c>
      <c r="G153" s="234">
        <v>1.1648225056084981E-4</v>
      </c>
      <c r="H153" s="234">
        <v>1.312398823443015E-4</v>
      </c>
      <c r="I153" s="234">
        <v>1.575727416186895E-4</v>
      </c>
      <c r="J153" s="234">
        <v>1.6112605629494179E-4</v>
      </c>
      <c r="K153" s="234">
        <v>1.6112605629494179E-4</v>
      </c>
      <c r="L153" s="234">
        <v>1.7788590389930371E-4</v>
      </c>
      <c r="M153" s="234">
        <v>1.9173001240693251E-4</v>
      </c>
      <c r="N153" s="234">
        <v>1.9173001240693251E-4</v>
      </c>
      <c r="O153" s="234">
        <v>1.8957111242284979E-4</v>
      </c>
      <c r="P153" s="234">
        <v>1.7244315520648971E-4</v>
      </c>
      <c r="Q153" s="234">
        <v>1.8301219779857209E-4</v>
      </c>
      <c r="R153" s="234">
        <v>1.8301219779857209E-4</v>
      </c>
      <c r="S153" s="234">
        <v>1.8301219779857209E-4</v>
      </c>
      <c r="T153" s="234">
        <v>1.911202752265163E-4</v>
      </c>
      <c r="U153" s="234">
        <v>2.1313238368552629E-4</v>
      </c>
      <c r="V153" s="234">
        <v>2.1313238368552629E-4</v>
      </c>
      <c r="W153" s="234">
        <v>2.1313238368552629E-4</v>
      </c>
      <c r="X153" s="234">
        <v>2.408726882011248E-4</v>
      </c>
      <c r="Y153" s="234">
        <v>2.2995850902352821E-4</v>
      </c>
      <c r="Z153" s="234">
        <v>2.2995850902352821E-4</v>
      </c>
      <c r="AA153" s="234">
        <v>1.949225422126367E-4</v>
      </c>
      <c r="AB153" s="234">
        <v>1.7753319535605841E-4</v>
      </c>
      <c r="AC153" s="234">
        <v>1.5120033608167019E-4</v>
      </c>
      <c r="AD153" s="234">
        <v>1.4613106958782679E-4</v>
      </c>
      <c r="AE153" s="234">
        <v>1.4613106958782679E-4</v>
      </c>
      <c r="AF153" s="234">
        <v>1.260444498781868E-4</v>
      </c>
      <c r="AG153" s="234">
        <v>1.1160476698315729E-4</v>
      </c>
      <c r="AH153" s="234">
        <v>1.1160476698315729E-4</v>
      </c>
      <c r="AI153" s="234">
        <v>9.3084506833293899E-5</v>
      </c>
      <c r="AJ153" s="234">
        <v>6.9453351760903094E-5</v>
      </c>
      <c r="AK153" s="234">
        <v>5.8884309168820821E-5</v>
      </c>
    </row>
    <row r="154" spans="2:48" ht="18" hidden="1" x14ac:dyDescent="0.35">
      <c r="B154" s="268" t="s">
        <v>1296</v>
      </c>
      <c r="C154" s="256" t="s">
        <v>1068</v>
      </c>
      <c r="D154" s="234">
        <v>0</v>
      </c>
      <c r="E154" s="234">
        <v>0</v>
      </c>
      <c r="F154" s="234">
        <v>0</v>
      </c>
      <c r="G154" s="234">
        <v>0</v>
      </c>
      <c r="H154" s="234">
        <v>0</v>
      </c>
      <c r="I154" s="234">
        <v>0</v>
      </c>
      <c r="J154" s="234">
        <v>0</v>
      </c>
      <c r="K154" s="234">
        <v>0</v>
      </c>
      <c r="L154" s="234">
        <v>0</v>
      </c>
      <c r="M154" s="234">
        <v>0</v>
      </c>
      <c r="N154" s="234">
        <v>0</v>
      </c>
      <c r="O154" s="234">
        <v>0</v>
      </c>
      <c r="P154" s="234">
        <v>0</v>
      </c>
      <c r="Q154" s="234">
        <v>0</v>
      </c>
      <c r="R154" s="234">
        <v>0</v>
      </c>
      <c r="S154" s="234">
        <v>0</v>
      </c>
      <c r="T154" s="234">
        <v>0</v>
      </c>
      <c r="U154" s="234">
        <v>0</v>
      </c>
      <c r="V154" s="234">
        <v>0</v>
      </c>
      <c r="W154" s="234">
        <v>0</v>
      </c>
      <c r="X154" s="234">
        <v>0</v>
      </c>
      <c r="Y154" s="234">
        <v>0</v>
      </c>
      <c r="Z154" s="234">
        <v>0</v>
      </c>
      <c r="AA154" s="234">
        <v>0</v>
      </c>
      <c r="AB154" s="234">
        <v>0</v>
      </c>
      <c r="AC154" s="234">
        <v>0</v>
      </c>
      <c r="AD154" s="234">
        <v>0</v>
      </c>
      <c r="AE154" s="234">
        <v>0</v>
      </c>
      <c r="AF154" s="234">
        <v>0</v>
      </c>
      <c r="AG154" s="234">
        <v>0</v>
      </c>
      <c r="AH154" s="234">
        <v>0</v>
      </c>
      <c r="AI154" s="234">
        <v>0</v>
      </c>
      <c r="AJ154" s="234">
        <v>0</v>
      </c>
      <c r="AK154" s="234">
        <v>0</v>
      </c>
    </row>
    <row r="155" spans="2:48" ht="18" hidden="1" x14ac:dyDescent="0.35">
      <c r="B155" s="268" t="s">
        <v>1297</v>
      </c>
      <c r="C155" s="256" t="s">
        <v>1068</v>
      </c>
      <c r="D155" s="234">
        <v>1.233206321750462E-4</v>
      </c>
      <c r="E155" s="234">
        <v>1.2239957194775809E-4</v>
      </c>
      <c r="F155" s="234">
        <v>1.071632241989779E-4</v>
      </c>
      <c r="G155" s="234">
        <v>1.3596391306619851E-4</v>
      </c>
      <c r="H155" s="234">
        <v>1.4809515989909789E-4</v>
      </c>
      <c r="I155" s="234">
        <v>1.8417258527930221E-4</v>
      </c>
      <c r="J155" s="234">
        <v>1.898715904254123E-4</v>
      </c>
      <c r="K155" s="234">
        <v>1.898715904254123E-4</v>
      </c>
      <c r="L155" s="234">
        <v>2.0364872290531879E-4</v>
      </c>
      <c r="M155" s="234">
        <v>2.1502902429458459E-4</v>
      </c>
      <c r="N155" s="234">
        <v>2.1502902429458459E-4</v>
      </c>
      <c r="O155" s="234">
        <v>2.0192171714977151E-4</v>
      </c>
      <c r="P155" s="234">
        <v>1.6550512137089441E-4</v>
      </c>
      <c r="Q155" s="234">
        <v>1.7419321349525219E-4</v>
      </c>
      <c r="R155" s="234">
        <v>1.7419321349525219E-4</v>
      </c>
      <c r="S155" s="234">
        <v>1.7419321349525219E-4</v>
      </c>
      <c r="T155" s="234">
        <v>1.8029723870945761E-4</v>
      </c>
      <c r="U155" s="234">
        <v>1.9839189813362351E-4</v>
      </c>
      <c r="V155" s="234">
        <v>1.9839189813362351E-4</v>
      </c>
      <c r="W155" s="234">
        <v>1.9839189813362351E-4</v>
      </c>
      <c r="X155" s="234">
        <v>2.3109125374081159E-4</v>
      </c>
      <c r="Y155" s="234">
        <v>2.1613824462155901E-4</v>
      </c>
      <c r="Z155" s="234">
        <v>2.1613824462155901E-4</v>
      </c>
      <c r="AA155" s="234">
        <v>1.873375557543384E-4</v>
      </c>
      <c r="AB155" s="234">
        <v>1.7304295469127299E-4</v>
      </c>
      <c r="AC155" s="234">
        <v>1.369655293110686E-4</v>
      </c>
      <c r="AD155" s="234">
        <v>1.3002036313073339E-4</v>
      </c>
      <c r="AE155" s="234">
        <v>1.3002036313073339E-4</v>
      </c>
      <c r="AF155" s="234">
        <v>1.1350851723893729E-4</v>
      </c>
      <c r="AG155" s="234">
        <v>1.016386345938894E-4</v>
      </c>
      <c r="AH155" s="234">
        <v>1.016386345938894E-4</v>
      </c>
      <c r="AI155" s="234">
        <v>8.6414386517755793E-5</v>
      </c>
      <c r="AJ155" s="234">
        <v>6.6988818829371213E-5</v>
      </c>
      <c r="AK155" s="234">
        <v>5.8300726705013501E-5</v>
      </c>
    </row>
    <row r="156" spans="2:48" ht="6" customHeight="1" thickBot="1" x14ac:dyDescent="0.3">
      <c r="B156" s="268"/>
      <c r="C156" s="266"/>
      <c r="D156" s="234"/>
      <c r="E156" s="234"/>
      <c r="F156" s="234"/>
      <c r="G156" s="234"/>
      <c r="H156" s="234"/>
      <c r="I156" s="234"/>
      <c r="J156" s="234"/>
      <c r="K156" s="234"/>
      <c r="L156" s="234"/>
      <c r="M156" s="234"/>
      <c r="N156" s="234"/>
      <c r="O156" s="234"/>
      <c r="P156" s="234"/>
      <c r="Q156" s="234"/>
      <c r="R156" s="234"/>
      <c r="S156" s="234"/>
      <c r="T156" s="234"/>
      <c r="U156" s="234"/>
      <c r="V156" s="234"/>
      <c r="W156" s="234"/>
      <c r="X156" s="234"/>
      <c r="Y156" s="234"/>
      <c r="Z156" s="234"/>
      <c r="AA156" s="234"/>
      <c r="AB156" s="234"/>
      <c r="AC156" s="234"/>
      <c r="AD156" s="234"/>
      <c r="AE156" s="234"/>
      <c r="AF156" s="234"/>
      <c r="AG156" s="234"/>
      <c r="AH156" s="234"/>
      <c r="AI156" s="234"/>
      <c r="AJ156" s="234"/>
      <c r="AK156" s="234"/>
    </row>
    <row r="157" spans="2:48" s="245" customFormat="1" ht="16.149999999999999" customHeight="1" thickTop="1" x14ac:dyDescent="0.25">
      <c r="B157" s="269" t="s">
        <v>1301</v>
      </c>
      <c r="C157" s="270"/>
      <c r="D157" s="271">
        <f>D5+D33+D73+D119+D134</f>
        <v>6.9641099532849662</v>
      </c>
      <c r="E157" s="271">
        <f t="shared" ref="E157:AJ157" si="0">E5+E33+E73+E119+E134</f>
        <v>8.1704390617367544</v>
      </c>
      <c r="F157" s="271">
        <f t="shared" si="0"/>
        <v>6.3324166279803986</v>
      </c>
      <c r="G157" s="271">
        <f t="shared" si="0"/>
        <v>5.7577638228403005</v>
      </c>
      <c r="H157" s="271">
        <f t="shared" si="0"/>
        <v>5.7251213077310439</v>
      </c>
      <c r="I157" s="271">
        <f t="shared" si="0"/>
        <v>6.6711531866016598</v>
      </c>
      <c r="J157" s="271">
        <f t="shared" si="0"/>
        <v>7.65287963311666</v>
      </c>
      <c r="K157" s="271">
        <f t="shared" si="0"/>
        <v>8.3007959170710599</v>
      </c>
      <c r="L157" s="271">
        <f t="shared" si="0"/>
        <v>6.105677447516964</v>
      </c>
      <c r="M157" s="271">
        <f t="shared" si="0"/>
        <v>8.8085055960164933</v>
      </c>
      <c r="N157" s="271">
        <f t="shared" si="0"/>
        <v>4.9185652777318944</v>
      </c>
      <c r="O157" s="271">
        <f t="shared" si="0"/>
        <v>5.0517487921858599</v>
      </c>
      <c r="P157" s="271">
        <f t="shared" si="0"/>
        <v>7.7617436825961539</v>
      </c>
      <c r="Q157" s="271">
        <f t="shared" si="0"/>
        <v>7.0403271789848683</v>
      </c>
      <c r="R157" s="271">
        <f t="shared" si="0"/>
        <v>7.9919347438354986</v>
      </c>
      <c r="S157" s="271">
        <f t="shared" si="0"/>
        <v>7.5821758477419259</v>
      </c>
      <c r="T157" s="271">
        <f t="shared" si="0"/>
        <v>7.9825887350184068</v>
      </c>
      <c r="U157" s="271">
        <f t="shared" si="0"/>
        <v>5.7877657200429873</v>
      </c>
      <c r="V157" s="271">
        <f t="shared" si="0"/>
        <v>6.9798138434375518</v>
      </c>
      <c r="W157" s="271">
        <f t="shared" si="0"/>
        <v>6.1290953694265005</v>
      </c>
      <c r="X157" s="271">
        <f t="shared" si="0"/>
        <v>7.4929000813945912</v>
      </c>
      <c r="Y157" s="271">
        <f t="shared" si="0"/>
        <v>6.0700179735200948</v>
      </c>
      <c r="Z157" s="271">
        <f t="shared" si="0"/>
        <v>6.6081107323264892</v>
      </c>
      <c r="AA157" s="271">
        <f t="shared" si="0"/>
        <v>7.5404092820857374</v>
      </c>
      <c r="AB157" s="271">
        <f t="shared" si="0"/>
        <v>7.3594418294330017</v>
      </c>
      <c r="AC157" s="271">
        <f t="shared" si="0"/>
        <v>8.4883674736866457</v>
      </c>
      <c r="AD157" s="271">
        <f t="shared" si="0"/>
        <v>6.7520989979524995</v>
      </c>
      <c r="AE157" s="271">
        <f t="shared" si="0"/>
        <v>8.2122283769532203</v>
      </c>
      <c r="AF157" s="271">
        <f t="shared" si="0"/>
        <v>7.0434171768376137</v>
      </c>
      <c r="AG157" s="271">
        <f t="shared" si="0"/>
        <v>6.1081219914850298</v>
      </c>
      <c r="AH157" s="271">
        <f t="shared" si="0"/>
        <v>6.2140194045975807</v>
      </c>
      <c r="AI157" s="271">
        <f t="shared" si="0"/>
        <v>3.9241057442491001</v>
      </c>
      <c r="AJ157" s="271">
        <f t="shared" si="0"/>
        <v>5.5216626354868588</v>
      </c>
      <c r="AK157" s="363">
        <f>AK5+AK33+AK73+AK119+AK134</f>
        <v>6.442626619810282</v>
      </c>
      <c r="AL157" s="222"/>
      <c r="AM157" s="222"/>
      <c r="AN157" s="222"/>
      <c r="AO157" s="222"/>
      <c r="AP157" s="222"/>
      <c r="AQ157" s="222"/>
      <c r="AR157" s="222"/>
      <c r="AS157" s="222"/>
      <c r="AT157" s="222"/>
      <c r="AU157" s="222"/>
      <c r="AV157" s="222"/>
    </row>
    <row r="158" spans="2:48" s="245" customFormat="1" ht="16.149999999999999" customHeight="1" x14ac:dyDescent="0.35">
      <c r="B158" s="272" t="s">
        <v>1302</v>
      </c>
      <c r="C158" s="273"/>
      <c r="D158" s="253">
        <f t="shared" ref="D158:AJ158" si="1">SUMIF($C5:$C152,"CH4",D5:D152)+SUMIF($C5:$C152,"N2O",D5:D152)</f>
        <v>0.31808503883904543</v>
      </c>
      <c r="E158" s="253">
        <f t="shared" si="1"/>
        <v>0.27724881366698911</v>
      </c>
      <c r="F158" s="253">
        <f t="shared" si="1"/>
        <v>0.33644660381060848</v>
      </c>
      <c r="G158" s="253">
        <f t="shared" si="1"/>
        <v>0.51547292698404634</v>
      </c>
      <c r="H158" s="253">
        <f t="shared" si="1"/>
        <v>0.45530338685322963</v>
      </c>
      <c r="I158" s="253">
        <f t="shared" si="1"/>
        <v>0.48473451157022696</v>
      </c>
      <c r="J158" s="253">
        <f t="shared" si="1"/>
        <v>0.4264285447752339</v>
      </c>
      <c r="K158" s="253">
        <f t="shared" si="1"/>
        <v>0.35262205252732282</v>
      </c>
      <c r="L158" s="253">
        <f t="shared" si="1"/>
        <v>0.34342735962091797</v>
      </c>
      <c r="M158" s="253">
        <f t="shared" si="1"/>
        <v>0.32581100142390856</v>
      </c>
      <c r="N158" s="253">
        <f t="shared" si="1"/>
        <v>0.6425037158755843</v>
      </c>
      <c r="O158" s="253">
        <f t="shared" si="1"/>
        <v>0.30809485713262624</v>
      </c>
      <c r="P158" s="253">
        <f t="shared" si="1"/>
        <v>0.62626064113479285</v>
      </c>
      <c r="Q158" s="253">
        <f t="shared" si="1"/>
        <v>0.59725749583861543</v>
      </c>
      <c r="R158" s="253">
        <f t="shared" si="1"/>
        <v>0.45938787521301289</v>
      </c>
      <c r="S158" s="253">
        <f t="shared" si="1"/>
        <v>0.44908539444741546</v>
      </c>
      <c r="T158" s="253">
        <f t="shared" si="1"/>
        <v>0.50071965250197747</v>
      </c>
      <c r="U158" s="253">
        <f t="shared" si="1"/>
        <v>0.32810039308058231</v>
      </c>
      <c r="V158" s="253">
        <f t="shared" si="1"/>
        <v>0.37931880649342314</v>
      </c>
      <c r="W158" s="253">
        <f t="shared" si="1"/>
        <v>0.48044586900257791</v>
      </c>
      <c r="X158" s="253">
        <f t="shared" si="1"/>
        <v>0.34384849584454591</v>
      </c>
      <c r="Y158" s="253">
        <f t="shared" si="1"/>
        <v>1.05297021949103</v>
      </c>
      <c r="Z158" s="253">
        <f t="shared" si="1"/>
        <v>0.86138078794243078</v>
      </c>
      <c r="AA158" s="253">
        <f t="shared" si="1"/>
        <v>0.72663011685302348</v>
      </c>
      <c r="AB158" s="253">
        <f t="shared" si="1"/>
        <v>0.3156690714678736</v>
      </c>
      <c r="AC158" s="253">
        <f t="shared" si="1"/>
        <v>0.29995833540510436</v>
      </c>
      <c r="AD158" s="253">
        <f t="shared" si="1"/>
        <v>0.35335494025114755</v>
      </c>
      <c r="AE158" s="253">
        <f t="shared" si="1"/>
        <v>0.3581980184404886</v>
      </c>
      <c r="AF158" s="253">
        <f t="shared" si="1"/>
        <v>0.56545707988815197</v>
      </c>
      <c r="AG158" s="253">
        <f t="shared" si="1"/>
        <v>0.32558083695963896</v>
      </c>
      <c r="AH158" s="253">
        <f t="shared" si="1"/>
        <v>0.44123970464979756</v>
      </c>
      <c r="AI158" s="253">
        <f t="shared" si="1"/>
        <v>0.46074276093941119</v>
      </c>
      <c r="AJ158" s="253">
        <f t="shared" si="1"/>
        <v>1.4368883897981903</v>
      </c>
      <c r="AK158" s="253">
        <f>SUMIF($C5:$C152,"CH4",AK5:AK152)+SUMIF($C5:$C152,"N2O",AK5:AK152)</f>
        <v>0.55499820760230989</v>
      </c>
      <c r="AL158" s="222"/>
      <c r="AM158" s="222"/>
      <c r="AN158" s="222"/>
      <c r="AO158" s="222"/>
      <c r="AP158" s="222"/>
      <c r="AQ158" s="222"/>
      <c r="AR158" s="222"/>
      <c r="AS158" s="222"/>
      <c r="AT158" s="222"/>
      <c r="AU158" s="222"/>
      <c r="AV158" s="222"/>
    </row>
    <row r="159" spans="2:48" s="245" customFormat="1" ht="16.149999999999999" customHeight="1" x14ac:dyDescent="0.25">
      <c r="B159" s="272" t="s">
        <v>1303</v>
      </c>
      <c r="C159" s="273"/>
      <c r="D159" s="253">
        <f>D5+D33-D40+D73-D80+D121+D122+D128+D136+D149+D153</f>
        <v>6.6459015938137469</v>
      </c>
      <c r="E159" s="253">
        <f t="shared" ref="E159:AJ159" si="2">E5+E33-E40+E73-E80+E121+E122+E128+E136+E149+E153</f>
        <v>7.893067848497819</v>
      </c>
      <c r="F159" s="253">
        <f t="shared" si="2"/>
        <v>5.9958628609455911</v>
      </c>
      <c r="G159" s="253">
        <f t="shared" si="2"/>
        <v>5.2421549319431868</v>
      </c>
      <c r="H159" s="253">
        <f t="shared" si="2"/>
        <v>5.2696698257179149</v>
      </c>
      <c r="I159" s="253">
        <f t="shared" si="2"/>
        <v>6.1862345024461529</v>
      </c>
      <c r="J159" s="253">
        <f t="shared" si="2"/>
        <v>7.2262612167510012</v>
      </c>
      <c r="K159" s="253">
        <f t="shared" si="2"/>
        <v>7.9479839929533123</v>
      </c>
      <c r="L159" s="253">
        <f t="shared" si="2"/>
        <v>5.7620464391731412</v>
      </c>
      <c r="M159" s="253">
        <f t="shared" si="2"/>
        <v>8.4824795655682905</v>
      </c>
      <c r="N159" s="253">
        <f t="shared" si="2"/>
        <v>4.2758465328320163</v>
      </c>
      <c r="O159" s="253">
        <f t="shared" si="2"/>
        <v>4.7434520133360838</v>
      </c>
      <c r="P159" s="253">
        <f t="shared" si="2"/>
        <v>7.1353175363399899</v>
      </c>
      <c r="Q159" s="253">
        <f t="shared" si="2"/>
        <v>6.4428954899327575</v>
      </c>
      <c r="R159" s="253">
        <f t="shared" si="2"/>
        <v>7.5323726754089906</v>
      </c>
      <c r="S159" s="253">
        <f t="shared" si="2"/>
        <v>7.1329162600810152</v>
      </c>
      <c r="T159" s="253">
        <f t="shared" si="2"/>
        <v>7.4816887852777194</v>
      </c>
      <c r="U159" s="253">
        <f t="shared" si="2"/>
        <v>5.4594669350642713</v>
      </c>
      <c r="V159" s="253">
        <f t="shared" si="2"/>
        <v>6.6002966450459937</v>
      </c>
      <c r="W159" s="253">
        <f t="shared" si="2"/>
        <v>5.6484511085257889</v>
      </c>
      <c r="X159" s="253">
        <f t="shared" si="2"/>
        <v>7.1488204942963058</v>
      </c>
      <c r="Y159" s="253">
        <f t="shared" si="2"/>
        <v>5.0168316157844428</v>
      </c>
      <c r="Z159" s="253">
        <f t="shared" si="2"/>
        <v>5.7465138061394372</v>
      </c>
      <c r="AA159" s="253">
        <f t="shared" si="2"/>
        <v>6.8135918276769614</v>
      </c>
      <c r="AB159" s="253">
        <f t="shared" si="2"/>
        <v>7.0435997150104379</v>
      </c>
      <c r="AC159" s="253">
        <f t="shared" si="2"/>
        <v>8.1882721727522281</v>
      </c>
      <c r="AD159" s="253">
        <f t="shared" si="2"/>
        <v>6.3986140373382216</v>
      </c>
      <c r="AE159" s="253">
        <f t="shared" si="2"/>
        <v>7.853900338149602</v>
      </c>
      <c r="AF159" s="253">
        <f t="shared" si="2"/>
        <v>6.4778465884322234</v>
      </c>
      <c r="AG159" s="253">
        <f t="shared" si="2"/>
        <v>5.7824395158907977</v>
      </c>
      <c r="AH159" s="253">
        <f t="shared" si="2"/>
        <v>5.7726780613131909</v>
      </c>
      <c r="AI159" s="253">
        <f t="shared" si="2"/>
        <v>3.4632765689231713</v>
      </c>
      <c r="AJ159" s="253">
        <f t="shared" si="2"/>
        <v>4.0847072568698408</v>
      </c>
      <c r="AK159" s="253">
        <f>AK5+AK33-AK40+AK73-AK80+AK121+AK122+AK128+AK136+AK149+AK153</f>
        <v>5.8875701114812671</v>
      </c>
      <c r="AL159" s="222"/>
      <c r="AM159" s="222"/>
      <c r="AN159" s="222"/>
      <c r="AO159" s="222"/>
      <c r="AP159" s="222"/>
      <c r="AQ159" s="222"/>
      <c r="AR159" s="222"/>
      <c r="AS159" s="222"/>
      <c r="AT159" s="222"/>
      <c r="AU159" s="222"/>
      <c r="AV159" s="222"/>
    </row>
    <row r="160" spans="2:48" s="221" customFormat="1" x14ac:dyDescent="0.25">
      <c r="D160" s="246"/>
      <c r="E160" s="246"/>
      <c r="F160" s="246"/>
      <c r="G160" s="246"/>
      <c r="H160" s="246"/>
      <c r="I160" s="246"/>
      <c r="J160" s="246"/>
      <c r="K160" s="246"/>
      <c r="L160" s="246"/>
      <c r="M160" s="246"/>
      <c r="N160" s="246"/>
      <c r="O160" s="246"/>
      <c r="P160" s="246"/>
      <c r="Q160" s="246"/>
      <c r="R160" s="246"/>
      <c r="S160" s="246"/>
      <c r="T160" s="246"/>
      <c r="U160" s="246"/>
      <c r="V160" s="246"/>
      <c r="W160" s="246"/>
      <c r="X160" s="246"/>
      <c r="Y160" s="246"/>
      <c r="Z160" s="246"/>
      <c r="AA160" s="246"/>
      <c r="AB160" s="246"/>
      <c r="AC160" s="246"/>
      <c r="AD160" s="246"/>
      <c r="AE160" s="246"/>
      <c r="AF160" s="246"/>
      <c r="AG160" s="246"/>
      <c r="AH160" s="246"/>
      <c r="AI160" s="246"/>
      <c r="AJ160" s="246"/>
      <c r="AK160" s="246"/>
      <c r="AL160" s="222"/>
      <c r="AM160" s="222"/>
      <c r="AN160" s="222"/>
      <c r="AO160" s="222"/>
      <c r="AP160" s="222"/>
      <c r="AQ160" s="222"/>
      <c r="AR160" s="222"/>
      <c r="AS160" s="222"/>
      <c r="AT160" s="222"/>
      <c r="AU160" s="222"/>
      <c r="AV160" s="222"/>
    </row>
    <row r="161" spans="4:48" s="221" customFormat="1" x14ac:dyDescent="0.25">
      <c r="D161" s="246"/>
      <c r="E161" s="246"/>
      <c r="F161" s="246"/>
      <c r="G161" s="246"/>
      <c r="H161" s="246"/>
      <c r="I161" s="246"/>
      <c r="J161" s="246"/>
      <c r="K161" s="246"/>
      <c r="L161" s="246"/>
      <c r="M161" s="246"/>
      <c r="N161" s="246"/>
      <c r="O161" s="246"/>
      <c r="P161" s="246"/>
      <c r="Q161" s="246"/>
      <c r="R161" s="246"/>
      <c r="S161" s="246"/>
      <c r="T161" s="246"/>
      <c r="U161" s="246"/>
      <c r="V161" s="246"/>
      <c r="W161" s="246"/>
      <c r="X161" s="246"/>
      <c r="Y161" s="246"/>
      <c r="Z161" s="246"/>
      <c r="AA161" s="246"/>
      <c r="AB161" s="246"/>
      <c r="AC161" s="246"/>
      <c r="AD161" s="246"/>
      <c r="AE161" s="246"/>
      <c r="AF161" s="246"/>
      <c r="AG161" s="246"/>
      <c r="AH161" s="246"/>
      <c r="AI161" s="246"/>
      <c r="AJ161" s="246"/>
      <c r="AK161" s="246"/>
      <c r="AL161" s="222"/>
      <c r="AM161" s="222"/>
      <c r="AN161" s="222"/>
      <c r="AO161" s="222"/>
      <c r="AP161" s="222"/>
      <c r="AQ161" s="222"/>
      <c r="AR161" s="222"/>
      <c r="AS161" s="222"/>
      <c r="AT161" s="222"/>
      <c r="AU161" s="222"/>
      <c r="AV161" s="222"/>
    </row>
    <row r="162" spans="4:48" x14ac:dyDescent="0.25">
      <c r="D162" s="274"/>
    </row>
    <row r="203" spans="2:37" x14ac:dyDescent="0.25">
      <c r="B203" s="275"/>
      <c r="D203" s="276"/>
      <c r="E203" s="276"/>
      <c r="F203" s="276"/>
      <c r="G203" s="276"/>
      <c r="H203" s="276"/>
      <c r="I203" s="276"/>
      <c r="J203" s="276"/>
      <c r="K203" s="276"/>
      <c r="L203" s="276"/>
      <c r="M203" s="276"/>
      <c r="N203" s="276"/>
      <c r="O203" s="276"/>
      <c r="P203" s="276"/>
      <c r="Q203" s="276"/>
      <c r="R203" s="276"/>
      <c r="S203" s="276"/>
      <c r="T203" s="276"/>
      <c r="U203" s="276"/>
      <c r="V203" s="276"/>
      <c r="W203" s="276"/>
      <c r="X203" s="276"/>
      <c r="Y203" s="276"/>
      <c r="Z203" s="276"/>
      <c r="AA203" s="276"/>
      <c r="AB203" s="276"/>
      <c r="AC203" s="276"/>
      <c r="AD203" s="276"/>
      <c r="AE203" s="276"/>
      <c r="AF203" s="276"/>
      <c r="AG203" s="276"/>
      <c r="AH203" s="276"/>
      <c r="AI203" s="276"/>
      <c r="AJ203" s="276"/>
      <c r="AK203" s="277"/>
    </row>
    <row r="204" spans="2:37" x14ac:dyDescent="0.25">
      <c r="B204" s="275"/>
      <c r="D204" s="276"/>
      <c r="E204" s="276"/>
      <c r="F204" s="276"/>
      <c r="G204" s="276"/>
      <c r="H204" s="276"/>
      <c r="I204" s="276"/>
      <c r="J204" s="276"/>
      <c r="K204" s="276"/>
      <c r="L204" s="276"/>
      <c r="M204" s="276"/>
      <c r="N204" s="276"/>
      <c r="O204" s="276"/>
      <c r="P204" s="276"/>
      <c r="Q204" s="276"/>
      <c r="R204" s="276"/>
      <c r="S204" s="276"/>
      <c r="T204" s="276"/>
      <c r="U204" s="276"/>
      <c r="V204" s="276"/>
      <c r="W204" s="276"/>
      <c r="X204" s="276"/>
      <c r="Y204" s="276"/>
      <c r="Z204" s="276"/>
      <c r="AA204" s="276"/>
      <c r="AB204" s="276"/>
      <c r="AC204" s="276"/>
      <c r="AD204" s="276"/>
      <c r="AE204" s="276"/>
      <c r="AF204" s="276"/>
      <c r="AG204" s="276"/>
      <c r="AH204" s="276"/>
      <c r="AI204" s="276"/>
      <c r="AJ204" s="276"/>
      <c r="AK204" s="277"/>
    </row>
  </sheetData>
  <mergeCells count="3">
    <mergeCell ref="D3:AK3"/>
    <mergeCell ref="B40:B42"/>
    <mergeCell ref="B80:B82"/>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896650157ED542866586369ED5DEBF" ma:contentTypeVersion="12" ma:contentTypeDescription="Create a new document." ma:contentTypeScope="" ma:versionID="1708589aaa2c90526a0b3c1fabed6ac0">
  <xsd:schema xmlns:xsd="http://www.w3.org/2001/XMLSchema" xmlns:xs="http://www.w3.org/2001/XMLSchema" xmlns:p="http://schemas.microsoft.com/office/2006/metadata/properties" xmlns:ns2="127ac368-58ab-446b-bc17-415b3adc0519" xmlns:ns3="f0a3fa5d-1bd4-4fbe-a068-c9c86a1f5131" targetNamespace="http://schemas.microsoft.com/office/2006/metadata/properties" ma:root="true" ma:fieldsID="23372a1d0e047f5fa95c9487465044e6" ns2:_="" ns3:_="">
    <xsd:import namespace="127ac368-58ab-446b-bc17-415b3adc0519"/>
    <xsd:import namespace="f0a3fa5d-1bd4-4fbe-a068-c9c86a1f51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7ac368-58ab-446b-bc17-415b3adc05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a3fa5d-1bd4-4fbe-a068-c9c86a1f513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d334ab4-f650-4aad-9165-9058c9f7aaa1}" ma:internalName="TaxCatchAll" ma:showField="CatchAllData" ma:web="f0a3fa5d-1bd4-4fbe-a068-c9c86a1f51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7ac368-58ab-446b-bc17-415b3adc0519">
      <Terms xmlns="http://schemas.microsoft.com/office/infopath/2007/PartnerControls"/>
    </lcf76f155ced4ddcb4097134ff3c332f>
    <TaxCatchAll xmlns="f0a3fa5d-1bd4-4fbe-a068-c9c86a1f5131" xsi:nil="true"/>
  </documentManagement>
</p:properties>
</file>

<file path=customXml/itemProps1.xml><?xml version="1.0" encoding="utf-8"?>
<ds:datastoreItem xmlns:ds="http://schemas.openxmlformats.org/officeDocument/2006/customXml" ds:itemID="{DF49ADC0-7019-47B7-A522-4C1CAD5679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7ac368-58ab-446b-bc17-415b3adc0519"/>
    <ds:schemaRef ds:uri="f0a3fa5d-1bd4-4fbe-a068-c9c86a1f51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6C884A-3753-4DB2-8FE3-D8415D54D0F9}">
  <ds:schemaRefs>
    <ds:schemaRef ds:uri="http://schemas.microsoft.com/sharepoint/v3/contenttype/forms"/>
  </ds:schemaRefs>
</ds:datastoreItem>
</file>

<file path=customXml/itemProps3.xml><?xml version="1.0" encoding="utf-8"?>
<ds:datastoreItem xmlns:ds="http://schemas.openxmlformats.org/officeDocument/2006/customXml" ds:itemID="{92515A8F-FFD6-4956-8F82-1EB51A137D6A}">
  <ds:schemaRefs>
    <ds:schemaRef ds:uri="http://purl.org/dc/elements/1.1/"/>
    <ds:schemaRef ds:uri="http://schemas.microsoft.com/office/infopath/2007/PartnerControls"/>
    <ds:schemaRef ds:uri="6b110142-2210-476d-86a5-79a173dc4fe0"/>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2006/metadata/properties"/>
    <ds:schemaRef ds:uri="http://purl.org/dc/dcmitype/"/>
    <ds:schemaRef ds:uri="38ffb409-c56b-4929-803e-06d1f998bf56"/>
    <ds:schemaRef ds:uri="6f1a1df0-2c58-47f2-9b04-4bfa66edbe0c"/>
    <ds:schemaRef ds:uri="127ac368-58ab-446b-bc17-415b3adc0519"/>
    <ds:schemaRef ds:uri="f0a3fa5d-1bd4-4fbe-a068-c9c86a1f5131"/>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SUMMARY TABLES</vt:lpstr>
      <vt:lpstr>IFC_Summary</vt:lpstr>
      <vt:lpstr>IFC_Sector Adjustments</vt:lpstr>
      <vt:lpstr>Nonroad Adjustment</vt:lpstr>
      <vt:lpstr>IFC_Pre-sector Adj</vt:lpstr>
      <vt:lpstr>IFC_Emission Factors</vt:lpstr>
      <vt:lpstr>IFC_Non-energy Fuel Use</vt:lpstr>
      <vt:lpstr>IFC_SEDS data</vt:lpstr>
      <vt:lpstr>IPPU_Summary</vt:lpstr>
      <vt:lpstr>IPPU_GWP</vt:lpstr>
      <vt:lpstr>CMAM</vt:lpstr>
      <vt:lpstr>Transportation</vt:lpstr>
      <vt:lpstr>Rail Calculation</vt:lpstr>
      <vt:lpstr>Electricity Generation</vt:lpstr>
      <vt:lpstr>Agriculture</vt:lpstr>
      <vt:lpstr>Residential Buildings</vt:lpstr>
      <vt:lpstr>Commercial Buildings</vt:lpstr>
      <vt:lpstr>Waste</vt:lpstr>
      <vt:lpstr>NWL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Gopi Manne</dc:creator>
  <cp:keywords/>
  <dc:description/>
  <cp:lastModifiedBy>Valentine, Samantha, ENV</cp:lastModifiedBy>
  <cp:revision/>
  <dcterms:created xsi:type="dcterms:W3CDTF">2025-07-23T16:42:29Z</dcterms:created>
  <dcterms:modified xsi:type="dcterms:W3CDTF">2026-10-27T15:05:59Z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0x010100F3896650157ED542866586369ED5DEBF</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